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Лист2!$A$10:$I$293</definedName>
    <definedName name="_xlnm.Print_Area" localSheetId="1">Лист2!$A$1:$M$294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2"/>
  <c r="K43" s="1"/>
  <c r="K53"/>
  <c r="J113"/>
  <c r="J107"/>
  <c r="J95"/>
  <c r="J47"/>
  <c r="J41"/>
  <c r="F41" s="1"/>
  <c r="J35"/>
  <c r="M293"/>
  <c r="L293"/>
  <c r="K293"/>
  <c r="J293"/>
  <c r="I293"/>
  <c r="H293"/>
  <c r="G293"/>
  <c r="F293"/>
  <c r="M292"/>
  <c r="L292"/>
  <c r="I292"/>
  <c r="H292"/>
  <c r="G292"/>
  <c r="M291"/>
  <c r="L291"/>
  <c r="J291"/>
  <c r="I291"/>
  <c r="H291"/>
  <c r="G291"/>
  <c r="M290"/>
  <c r="L290"/>
  <c r="K290"/>
  <c r="J290"/>
  <c r="I290"/>
  <c r="H290"/>
  <c r="G290"/>
  <c r="F290"/>
  <c r="M289"/>
  <c r="L289"/>
  <c r="K289"/>
  <c r="J289"/>
  <c r="I289"/>
  <c r="H289"/>
  <c r="G289"/>
  <c r="M288"/>
  <c r="L288"/>
  <c r="I288"/>
  <c r="H288"/>
  <c r="G288"/>
  <c r="F286"/>
  <c r="F285"/>
  <c r="F284"/>
  <c r="F283"/>
  <c r="F282"/>
  <c r="M281"/>
  <c r="L281"/>
  <c r="K281"/>
  <c r="J281"/>
  <c r="I281"/>
  <c r="H281"/>
  <c r="G281"/>
  <c r="F281"/>
  <c r="F279"/>
  <c r="F278"/>
  <c r="F277"/>
  <c r="F276"/>
  <c r="F275"/>
  <c r="M274"/>
  <c r="L274"/>
  <c r="K274"/>
  <c r="F274" s="1"/>
  <c r="J274"/>
  <c r="I274"/>
  <c r="H274"/>
  <c r="G274"/>
  <c r="F272"/>
  <c r="F271"/>
  <c r="F270"/>
  <c r="F269"/>
  <c r="F268"/>
  <c r="M267"/>
  <c r="L267"/>
  <c r="K267"/>
  <c r="J267"/>
  <c r="I267"/>
  <c r="H267"/>
  <c r="G267"/>
  <c r="F267"/>
  <c r="F265"/>
  <c r="J264"/>
  <c r="F264"/>
  <c r="F263"/>
  <c r="F262"/>
  <c r="F261"/>
  <c r="M260"/>
  <c r="L260"/>
  <c r="K260"/>
  <c r="J260"/>
  <c r="I260"/>
  <c r="H260"/>
  <c r="G260"/>
  <c r="F260"/>
  <c r="F258"/>
  <c r="F257"/>
  <c r="F256"/>
  <c r="F255"/>
  <c r="F254"/>
  <c r="M253"/>
  <c r="L253"/>
  <c r="K253"/>
  <c r="J253"/>
  <c r="I253"/>
  <c r="H253"/>
  <c r="G253"/>
  <c r="F253"/>
  <c r="F252"/>
  <c r="F251"/>
  <c r="F250"/>
  <c r="F249"/>
  <c r="F248"/>
  <c r="M247"/>
  <c r="L247"/>
  <c r="K247"/>
  <c r="J247"/>
  <c r="I247"/>
  <c r="H247"/>
  <c r="G247"/>
  <c r="F247"/>
  <c r="F246"/>
  <c r="F245"/>
  <c r="F244"/>
  <c r="F243"/>
  <c r="F242"/>
  <c r="M241"/>
  <c r="L241"/>
  <c r="K241"/>
  <c r="J241"/>
  <c r="I241"/>
  <c r="H241"/>
  <c r="G241"/>
  <c r="F241"/>
  <c r="F240"/>
  <c r="F239"/>
  <c r="F238"/>
  <c r="F237"/>
  <c r="F236"/>
  <c r="I235"/>
  <c r="H235"/>
  <c r="G235"/>
  <c r="F235"/>
  <c r="F234"/>
  <c r="I233"/>
  <c r="F233"/>
  <c r="F232"/>
  <c r="F231"/>
  <c r="F230"/>
  <c r="M229"/>
  <c r="L229"/>
  <c r="K229"/>
  <c r="J229"/>
  <c r="I229"/>
  <c r="H229"/>
  <c r="G229"/>
  <c r="F229"/>
  <c r="F228"/>
  <c r="H227"/>
  <c r="F227"/>
  <c r="F226"/>
  <c r="F225"/>
  <c r="F224"/>
  <c r="M223"/>
  <c r="L223"/>
  <c r="K223"/>
  <c r="J223"/>
  <c r="J205" s="1"/>
  <c r="I223"/>
  <c r="H223"/>
  <c r="G223"/>
  <c r="F223"/>
  <c r="F222"/>
  <c r="F221"/>
  <c r="F220"/>
  <c r="F219"/>
  <c r="F218"/>
  <c r="M217"/>
  <c r="L217"/>
  <c r="K217"/>
  <c r="J217"/>
  <c r="I217"/>
  <c r="H217"/>
  <c r="G217"/>
  <c r="F217"/>
  <c r="F216"/>
  <c r="F215"/>
  <c r="F214"/>
  <c r="F213"/>
  <c r="F212"/>
  <c r="M211"/>
  <c r="L211"/>
  <c r="K211"/>
  <c r="J211"/>
  <c r="I211"/>
  <c r="H211"/>
  <c r="G211"/>
  <c r="F211"/>
  <c r="K210"/>
  <c r="J210"/>
  <c r="I210"/>
  <c r="H210"/>
  <c r="G210"/>
  <c r="F210"/>
  <c r="M209"/>
  <c r="L209"/>
  <c r="K209"/>
  <c r="J209"/>
  <c r="I209"/>
  <c r="H209"/>
  <c r="G209"/>
  <c r="M208"/>
  <c r="L208"/>
  <c r="K208"/>
  <c r="F208" s="1"/>
  <c r="F291" s="1"/>
  <c r="J208"/>
  <c r="I208"/>
  <c r="H208"/>
  <c r="G208"/>
  <c r="M207"/>
  <c r="L207"/>
  <c r="K207"/>
  <c r="J207"/>
  <c r="I207"/>
  <c r="F207"/>
  <c r="M206"/>
  <c r="L206"/>
  <c r="K206"/>
  <c r="F206" s="1"/>
  <c r="F289" s="1"/>
  <c r="J206"/>
  <c r="I206"/>
  <c r="H206"/>
  <c r="G206"/>
  <c r="M205"/>
  <c r="L205"/>
  <c r="I205"/>
  <c r="H205"/>
  <c r="G205"/>
  <c r="F204"/>
  <c r="F203"/>
  <c r="F202"/>
  <c r="F201"/>
  <c r="F200"/>
  <c r="M199"/>
  <c r="L199"/>
  <c r="K199"/>
  <c r="J199"/>
  <c r="I199"/>
  <c r="H199"/>
  <c r="G199"/>
  <c r="F199"/>
  <c r="F198"/>
  <c r="F197"/>
  <c r="F196"/>
  <c r="F195"/>
  <c r="F194"/>
  <c r="M193"/>
  <c r="L193"/>
  <c r="K193"/>
  <c r="J193"/>
  <c r="I193"/>
  <c r="H193"/>
  <c r="G193"/>
  <c r="F193"/>
  <c r="F192"/>
  <c r="G191"/>
  <c r="F191"/>
  <c r="F190"/>
  <c r="F189"/>
  <c r="F188"/>
  <c r="M187"/>
  <c r="L187"/>
  <c r="K187"/>
  <c r="J187"/>
  <c r="I187"/>
  <c r="H187"/>
  <c r="G187"/>
  <c r="F187"/>
  <c r="F186"/>
  <c r="J185"/>
  <c r="F185"/>
  <c r="J184"/>
  <c r="F184"/>
  <c r="F183"/>
  <c r="J182"/>
  <c r="F182"/>
  <c r="M181"/>
  <c r="L181"/>
  <c r="K181"/>
  <c r="J181"/>
  <c r="I181"/>
  <c r="H181"/>
  <c r="G181"/>
  <c r="F181"/>
  <c r="F180"/>
  <c r="K179"/>
  <c r="I179"/>
  <c r="H179"/>
  <c r="G179"/>
  <c r="F179"/>
  <c r="F178"/>
  <c r="F177"/>
  <c r="F176"/>
  <c r="M175"/>
  <c r="L175"/>
  <c r="K175"/>
  <c r="J175"/>
  <c r="I175"/>
  <c r="H175"/>
  <c r="G175"/>
  <c r="F175"/>
  <c r="F174"/>
  <c r="F173"/>
  <c r="F172"/>
  <c r="F171"/>
  <c r="F170"/>
  <c r="M169"/>
  <c r="L169"/>
  <c r="K169"/>
  <c r="J169"/>
  <c r="F169" s="1"/>
  <c r="I169"/>
  <c r="H169"/>
  <c r="G169"/>
  <c r="F168"/>
  <c r="I167"/>
  <c r="G167"/>
  <c r="F167"/>
  <c r="F166"/>
  <c r="F165"/>
  <c r="F164"/>
  <c r="M163"/>
  <c r="L163"/>
  <c r="K163"/>
  <c r="J163"/>
  <c r="I163"/>
  <c r="H163"/>
  <c r="G163"/>
  <c r="F163"/>
  <c r="F156"/>
  <c r="I155"/>
  <c r="F155"/>
  <c r="F154"/>
  <c r="F153"/>
  <c r="F152"/>
  <c r="M151"/>
  <c r="L151"/>
  <c r="K151"/>
  <c r="J151"/>
  <c r="F151" s="1"/>
  <c r="I151"/>
  <c r="H151"/>
  <c r="G151"/>
  <c r="F150"/>
  <c r="F149"/>
  <c r="F148"/>
  <c r="F147"/>
  <c r="F146"/>
  <c r="M145"/>
  <c r="L145"/>
  <c r="K145"/>
  <c r="J145"/>
  <c r="I145"/>
  <c r="H145"/>
  <c r="G145"/>
  <c r="F145"/>
  <c r="F144"/>
  <c r="J143"/>
  <c r="I143"/>
  <c r="H143"/>
  <c r="F143"/>
  <c r="F142"/>
  <c r="F141"/>
  <c r="F140"/>
  <c r="M139"/>
  <c r="L139"/>
  <c r="K139"/>
  <c r="J139"/>
  <c r="I139"/>
  <c r="H139"/>
  <c r="G139"/>
  <c r="F139"/>
  <c r="F138"/>
  <c r="J137"/>
  <c r="I137"/>
  <c r="H137"/>
  <c r="F137"/>
  <c r="F136"/>
  <c r="F135"/>
  <c r="F134"/>
  <c r="M133"/>
  <c r="L133"/>
  <c r="K133"/>
  <c r="J133"/>
  <c r="I133"/>
  <c r="H133"/>
  <c r="G133"/>
  <c r="F133"/>
  <c r="M132"/>
  <c r="L132"/>
  <c r="K132"/>
  <c r="J132"/>
  <c r="I132"/>
  <c r="H132"/>
  <c r="G132"/>
  <c r="F132"/>
  <c r="M131"/>
  <c r="L131"/>
  <c r="K131"/>
  <c r="J131"/>
  <c r="F131" s="1"/>
  <c r="I131"/>
  <c r="H131"/>
  <c r="G131"/>
  <c r="M130"/>
  <c r="L130"/>
  <c r="K130"/>
  <c r="J130"/>
  <c r="I130"/>
  <c r="H130"/>
  <c r="G130"/>
  <c r="F130"/>
  <c r="F129"/>
  <c r="M128"/>
  <c r="L128"/>
  <c r="K128"/>
  <c r="J128"/>
  <c r="I128"/>
  <c r="H128"/>
  <c r="G128"/>
  <c r="F128"/>
  <c r="M127"/>
  <c r="L127"/>
  <c r="K127"/>
  <c r="I127"/>
  <c r="H127"/>
  <c r="G127"/>
  <c r="F126"/>
  <c r="F125"/>
  <c r="F124"/>
  <c r="F123"/>
  <c r="F122"/>
  <c r="M121"/>
  <c r="L121"/>
  <c r="K121"/>
  <c r="J121"/>
  <c r="I121"/>
  <c r="H121"/>
  <c r="G121"/>
  <c r="F121"/>
  <c r="F120"/>
  <c r="H119"/>
  <c r="G119"/>
  <c r="F119"/>
  <c r="F118"/>
  <c r="F117"/>
  <c r="F116"/>
  <c r="M115"/>
  <c r="L115"/>
  <c r="K115"/>
  <c r="J115"/>
  <c r="I115"/>
  <c r="H115"/>
  <c r="G115"/>
  <c r="F115"/>
  <c r="F114"/>
  <c r="I113"/>
  <c r="H113"/>
  <c r="G113"/>
  <c r="F113"/>
  <c r="F112"/>
  <c r="F111"/>
  <c r="F110"/>
  <c r="M109"/>
  <c r="L109"/>
  <c r="K109"/>
  <c r="J109"/>
  <c r="F109" s="1"/>
  <c r="I109"/>
  <c r="H109"/>
  <c r="G109"/>
  <c r="F108"/>
  <c r="I107"/>
  <c r="H107"/>
  <c r="F107"/>
  <c r="F106"/>
  <c r="F105"/>
  <c r="F104"/>
  <c r="M103"/>
  <c r="L103"/>
  <c r="K103"/>
  <c r="J103"/>
  <c r="F103" s="1"/>
  <c r="I103"/>
  <c r="H103"/>
  <c r="G103"/>
  <c r="F102"/>
  <c r="I101"/>
  <c r="H101"/>
  <c r="G101"/>
  <c r="F101"/>
  <c r="F100"/>
  <c r="F99"/>
  <c r="F98"/>
  <c r="M97"/>
  <c r="L97"/>
  <c r="K97"/>
  <c r="J97"/>
  <c r="I97"/>
  <c r="H97"/>
  <c r="G97"/>
  <c r="F97"/>
  <c r="F96"/>
  <c r="I95"/>
  <c r="H95"/>
  <c r="F95"/>
  <c r="F94"/>
  <c r="F93"/>
  <c r="F92"/>
  <c r="M91"/>
  <c r="L91"/>
  <c r="K91"/>
  <c r="J91"/>
  <c r="I91"/>
  <c r="H91"/>
  <c r="G91"/>
  <c r="L90"/>
  <c r="K90"/>
  <c r="J90"/>
  <c r="I90"/>
  <c r="H90"/>
  <c r="G90"/>
  <c r="F90"/>
  <c r="M89"/>
  <c r="L89"/>
  <c r="K89"/>
  <c r="J89"/>
  <c r="F89" s="1"/>
  <c r="I89"/>
  <c r="H89"/>
  <c r="G89"/>
  <c r="L88"/>
  <c r="K88"/>
  <c r="J88"/>
  <c r="I88"/>
  <c r="H88"/>
  <c r="G88"/>
  <c r="F88"/>
  <c r="F87"/>
  <c r="L86"/>
  <c r="K86"/>
  <c r="J86"/>
  <c r="I86"/>
  <c r="H86"/>
  <c r="G86"/>
  <c r="F86"/>
  <c r="M85"/>
  <c r="L85"/>
  <c r="K85"/>
  <c r="I85"/>
  <c r="H85"/>
  <c r="G85"/>
  <c r="F84"/>
  <c r="J83"/>
  <c r="I83"/>
  <c r="H83"/>
  <c r="F83"/>
  <c r="F82"/>
  <c r="F81"/>
  <c r="F80"/>
  <c r="M79"/>
  <c r="L79"/>
  <c r="K79"/>
  <c r="J79"/>
  <c r="I79"/>
  <c r="H79"/>
  <c r="G79"/>
  <c r="F79"/>
  <c r="L78"/>
  <c r="K78"/>
  <c r="J78"/>
  <c r="I78"/>
  <c r="H78"/>
  <c r="G78"/>
  <c r="F78"/>
  <c r="M77"/>
  <c r="L77"/>
  <c r="K77"/>
  <c r="J77"/>
  <c r="I77"/>
  <c r="H77"/>
  <c r="G77"/>
  <c r="F77"/>
  <c r="L76"/>
  <c r="K76"/>
  <c r="J76"/>
  <c r="I76"/>
  <c r="H76"/>
  <c r="G76"/>
  <c r="F76"/>
  <c r="F75"/>
  <c r="L74"/>
  <c r="K74"/>
  <c r="J74"/>
  <c r="I74"/>
  <c r="H74"/>
  <c r="G74"/>
  <c r="F74"/>
  <c r="M73"/>
  <c r="L73"/>
  <c r="K73"/>
  <c r="J73"/>
  <c r="I73"/>
  <c r="H73"/>
  <c r="G73"/>
  <c r="F73"/>
  <c r="F72"/>
  <c r="F71"/>
  <c r="F70"/>
  <c r="F69"/>
  <c r="F68"/>
  <c r="M67"/>
  <c r="L67"/>
  <c r="K67"/>
  <c r="J67"/>
  <c r="I67"/>
  <c r="H67"/>
  <c r="G67"/>
  <c r="F67"/>
  <c r="F66"/>
  <c r="F65"/>
  <c r="F64"/>
  <c r="F63"/>
  <c r="F62"/>
  <c r="M61"/>
  <c r="L61"/>
  <c r="K61"/>
  <c r="J61"/>
  <c r="I61"/>
  <c r="H61"/>
  <c r="G61"/>
  <c r="F61"/>
  <c r="F60"/>
  <c r="F59"/>
  <c r="H58"/>
  <c r="F58"/>
  <c r="F57"/>
  <c r="F56"/>
  <c r="M55"/>
  <c r="L55"/>
  <c r="K55"/>
  <c r="J55"/>
  <c r="I55"/>
  <c r="H55"/>
  <c r="G55"/>
  <c r="F55"/>
  <c r="F54"/>
  <c r="I53"/>
  <c r="F53"/>
  <c r="F52"/>
  <c r="F51"/>
  <c r="F50"/>
  <c r="M49"/>
  <c r="L49"/>
  <c r="K49"/>
  <c r="J49"/>
  <c r="I49"/>
  <c r="H49"/>
  <c r="G49"/>
  <c r="F48"/>
  <c r="M47"/>
  <c r="F46"/>
  <c r="F45"/>
  <c r="F44"/>
  <c r="M43"/>
  <c r="L43"/>
  <c r="I43"/>
  <c r="H43"/>
  <c r="G43"/>
  <c r="F42"/>
  <c r="H41"/>
  <c r="G41"/>
  <c r="F40"/>
  <c r="F39"/>
  <c r="F38"/>
  <c r="M37"/>
  <c r="L37"/>
  <c r="K37"/>
  <c r="I37"/>
  <c r="H37"/>
  <c r="G37"/>
  <c r="F36"/>
  <c r="G35"/>
  <c r="F35"/>
  <c r="F34"/>
  <c r="F33"/>
  <c r="F32"/>
  <c r="M31"/>
  <c r="L31"/>
  <c r="K31"/>
  <c r="J31"/>
  <c r="I31"/>
  <c r="H31"/>
  <c r="G31"/>
  <c r="F31"/>
  <c r="F30"/>
  <c r="F29"/>
  <c r="F28"/>
  <c r="F27"/>
  <c r="F26"/>
  <c r="M25"/>
  <c r="L25"/>
  <c r="K25"/>
  <c r="J25"/>
  <c r="I25"/>
  <c r="H25"/>
  <c r="G25"/>
  <c r="F25"/>
  <c r="F24"/>
  <c r="I23"/>
  <c r="F23"/>
  <c r="F22"/>
  <c r="F21"/>
  <c r="F20"/>
  <c r="M19"/>
  <c r="L19"/>
  <c r="K19"/>
  <c r="J19"/>
  <c r="I19"/>
  <c r="H19"/>
  <c r="G19"/>
  <c r="F19"/>
  <c r="L18"/>
  <c r="K18"/>
  <c r="J18"/>
  <c r="I18"/>
  <c r="H18"/>
  <c r="F18"/>
  <c r="M17"/>
  <c r="L17"/>
  <c r="J17"/>
  <c r="I17"/>
  <c r="H17"/>
  <c r="G17"/>
  <c r="M16"/>
  <c r="L16"/>
  <c r="K16"/>
  <c r="J16"/>
  <c r="I16"/>
  <c r="H16"/>
  <c r="G16"/>
  <c r="F16"/>
  <c r="G15"/>
  <c r="F15"/>
  <c r="M14"/>
  <c r="L14"/>
  <c r="K14"/>
  <c r="J14"/>
  <c r="I14"/>
  <c r="H14"/>
  <c r="G14"/>
  <c r="F14"/>
  <c r="M13"/>
  <c r="L13"/>
  <c r="I13"/>
  <c r="H13"/>
  <c r="G13"/>
  <c r="K17" l="1"/>
  <c r="F17" s="1"/>
  <c r="F47"/>
  <c r="K13"/>
  <c r="F49"/>
  <c r="J127"/>
  <c r="F127" s="1"/>
  <c r="J292"/>
  <c r="J85"/>
  <c r="F85" s="1"/>
  <c r="F91"/>
  <c r="J43"/>
  <c r="F43" s="1"/>
  <c r="J37"/>
  <c r="F37" s="1"/>
  <c r="K291"/>
  <c r="F209"/>
  <c r="K205"/>
  <c r="K292" l="1"/>
  <c r="J13"/>
  <c r="F292"/>
  <c r="K288"/>
  <c r="F205"/>
  <c r="F13" l="1"/>
  <c r="F288" s="1"/>
  <c r="J288"/>
</calcChain>
</file>

<file path=xl/sharedStrings.xml><?xml version="1.0" encoding="utf-8"?>
<sst xmlns="http://schemas.openxmlformats.org/spreadsheetml/2006/main" count="517" uniqueCount="214">
  <si>
    <t>2019 мун</t>
  </si>
  <si>
    <t>2019 общ</t>
  </si>
  <si>
    <t>2020 мун</t>
  </si>
  <si>
    <t>2020 общ</t>
  </si>
  <si>
    <t>2021 мун</t>
  </si>
  <si>
    <t>2021 общ</t>
  </si>
  <si>
    <t>2022 мун</t>
  </si>
  <si>
    <t>2022 общ</t>
  </si>
  <si>
    <t xml:space="preserve">Задача 1 </t>
  </si>
  <si>
    <t>Задача 2</t>
  </si>
  <si>
    <t>2.1.</t>
  </si>
  <si>
    <t>2.2.</t>
  </si>
  <si>
    <t>2.3.</t>
  </si>
  <si>
    <t>Задача 3</t>
  </si>
  <si>
    <t>3.1. оснащение</t>
  </si>
  <si>
    <t>3.2.</t>
  </si>
  <si>
    <t>3.3. антитеррор</t>
  </si>
  <si>
    <t>3.4. ЕДШИ</t>
  </si>
  <si>
    <t>3.5. НДШИ</t>
  </si>
  <si>
    <t>3.6. ДХШ</t>
  </si>
  <si>
    <t>3.7. педагоги</t>
  </si>
  <si>
    <t>Задача 4</t>
  </si>
  <si>
    <t>Задача 5</t>
  </si>
  <si>
    <t>5.1.</t>
  </si>
  <si>
    <t>5.2.</t>
  </si>
  <si>
    <t>5.3.</t>
  </si>
  <si>
    <t>5.4.</t>
  </si>
  <si>
    <t>5.5. ецкид</t>
  </si>
  <si>
    <t>5.6. зцкид</t>
  </si>
  <si>
    <t>5.7. мдк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</si>
  <si>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</si>
  <si>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</si>
  <si>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</si>
  <si>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</si>
  <si>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</si>
  <si>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</si>
  <si>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</si>
  <si>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</si>
  <si>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9.5.</t>
  </si>
  <si>
    <t>Задача 10</t>
  </si>
  <si>
    <t>10.1.</t>
  </si>
  <si>
    <t>10.2.</t>
  </si>
  <si>
    <t>ИТОГО мун:</t>
  </si>
  <si>
    <t>фед</t>
  </si>
  <si>
    <t>респ:</t>
  </si>
  <si>
    <t>итого общее:</t>
  </si>
  <si>
    <t xml:space="preserve"> задача 1</t>
  </si>
  <si>
    <t>Итого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</si>
  <si>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</si>
  <si>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</si>
  <si>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</si>
  <si>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</si>
  <si>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</si>
  <si>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</si>
  <si>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</si>
  <si>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</si>
  <si>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Объем финансирования по годам (тыс.руб.)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</si>
  <si>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</si>
  <si>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</si>
  <si>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</si>
  <si>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</si>
  <si>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</si>
  <si>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</si>
  <si>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</si>
  <si>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1.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</si>
  <si>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</si>
  <si>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2022-2028 </t>
  </si>
  <si>
    <t>ДКСМПиМО АГЕ РК, МБУК "Театр-студия кукол "Марионетки", МБУ ДО "ЕДШИ", МБУ ДО "НДШИ", МБУ ДО "ЕДХШ им.Ю.В.Волкова"</t>
  </si>
  <si>
    <t>Всего в т.ч.</t>
  </si>
  <si>
    <t>федеральный бюджет</t>
  </si>
  <si>
    <t>бюджеты субъектов Россйиской Федерации</t>
  </si>
  <si>
    <t>бюджет Республики Крым</t>
  </si>
  <si>
    <t>муниципальный бюджет</t>
  </si>
  <si>
    <t>внебюджетные источники</t>
  </si>
  <si>
    <t>1.1.</t>
  </si>
  <si>
    <r>
      <rPr>
        <sz val="10"/>
        <color theme="1"/>
        <rFont val="Times New Roman"/>
        <charset val="204"/>
      </rPr>
      <t xml:space="preserve">Развитие и укрепление материально-технической базы детских школ искусств и театров, приобретение музыкальных иструментов </t>
    </r>
  </si>
  <si>
    <t>2022- 2025</t>
  </si>
  <si>
    <t>ДКСМПиМО АГЕ РК, МБУ ДО "ЕДШИ", МБУ ДО "НДШИ", МБУДО "ЕДХШ им.Ю.В.Волкова", МБУК "Театр-студия кукол "Марионетки"</t>
  </si>
  <si>
    <t>1.2.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</si>
  <si>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</si>
  <si>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2022-2025</t>
  </si>
  <si>
    <t xml:space="preserve">ДКСМПиМО АГЕ РК, МБУ ДО "ЕДШИ", МБУ ДО "НДШИ", МБУДО "ЕДХШ им.Ю.В.Волкова", МБУК "Театр-студия кукол "Марионетки" </t>
  </si>
  <si>
    <t>1.3.</t>
  </si>
  <si>
    <t>Финансовое и материально-техническое обеспечение деятельности МБУК «Театр-студия кукол «Марионетки»</t>
  </si>
  <si>
    <t>2022 - 2028</t>
  </si>
  <si>
    <t>ДКСМПиМО АГЕ РК, МБУК "Театр-студия кукол "Марионетки"</t>
  </si>
  <si>
    <t>1.4.</t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</si>
  <si>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</si>
  <si>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2022 - 2028 </t>
  </si>
  <si>
    <t>ДКСМПиМО АГЕ РК, МБУ ДО "ЕДШИ"</t>
  </si>
  <si>
    <t>1.5.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</si>
  <si>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</si>
  <si>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 2022-2028</t>
  </si>
  <si>
    <t>ДКСМПиМО АГЕ РК, МБУ ДО "НДШИ"</t>
  </si>
  <si>
    <t>1.6.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</si>
  <si>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</si>
  <si>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2022-2028</t>
  </si>
  <si>
    <t>ДКСМПиМО АГЕ РК, МБУДО "ЕДХШ им.Ю.В.Волкова"</t>
  </si>
  <si>
    <t>1.7.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</si>
  <si>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</si>
  <si>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1.8.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</si>
  <si>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</si>
  <si>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>УКиМО, МБУК "Театр-студия кукол "Марионетки"</t>
  </si>
  <si>
    <t>1.9.</t>
  </si>
  <si>
    <t>2.</t>
  </si>
  <si>
    <t xml:space="preserve">Создание благоприятных условий для гармоничного развития межнациональных и межконфессиональных отношений
</t>
  </si>
  <si>
    <t>2022-2027</t>
  </si>
  <si>
    <t>ДКСМПиМО АГЕ РК, учреждения культуры и дополнительного образования в сфере культуры, подведомственные ДКСМПиМО АГЕ РК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</si>
  <si>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</si>
  <si>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3.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</si>
  <si>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</si>
  <si>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</si>
  <si>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3.1.</t>
  </si>
  <si>
    <t>Развитие  и укрепление материально-технической базы культурно-досуговых учреждений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</si>
  <si>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</si>
  <si>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 xml:space="preserve">Финансовое и материально-техническое обеспечение деятельности МБУК "Евпаторийский центр культуры и досуга" </t>
  </si>
  <si>
    <t>ДКСМПиМО АГЕ РК, МБУК "Евпаторийский центр культуры и досуга"</t>
  </si>
  <si>
    <t>3.3.</t>
  </si>
  <si>
    <t xml:space="preserve">Финансовое и материально-техническое обеспечение деятельности МБУК "Заозерненский центр культуры и досуга"  </t>
  </si>
  <si>
    <t>ДКСМПиМО АГЕ РК, МБУК "Заозерненский центр культуры и досуга"</t>
  </si>
  <si>
    <t>3.4.</t>
  </si>
  <si>
    <t xml:space="preserve">Финансовое и материально-техническое обеспечение деятельности МБУК "Мирновский дом культуры" </t>
  </si>
  <si>
    <t>ДКСМПиМО АГЕ РК, МБУК "Мирновский дом культуры"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</si>
  <si>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</si>
  <si>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</si>
  <si>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2022-2023</t>
  </si>
  <si>
    <t>УКиМО, МБУК "Евпаторийский центр культуры и досуга", МБУК "Мирновский дом культуры"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</si>
  <si>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</si>
  <si>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</si>
  <si>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>2024, 2026</t>
  </si>
  <si>
    <t>4.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</si>
  <si>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</si>
  <si>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4.1.</t>
  </si>
  <si>
    <t xml:space="preserve">Материально-техническое обеспечение проведения культурно-массовых мероприятий </t>
  </si>
  <si>
    <t>2022- 2026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</si>
  <si>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</si>
  <si>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4.2.</t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</si>
  <si>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</si>
  <si>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 xml:space="preserve">2022-2027 </t>
  </si>
  <si>
    <t>ДКСМПиМО АГЕ РК</t>
  </si>
  <si>
    <t>4.3.</t>
  </si>
  <si>
    <t xml:space="preserve"> Комплектование книжных фондов муниципальных библиотек</t>
  </si>
  <si>
    <t>2024- 2026</t>
  </si>
  <si>
    <t>ДКСМПиМО АГЕ РК, МБУК "Евпаторийская централизованная библиотечная система", МБУК "Заозерненский центр культуры и досуга"</t>
  </si>
  <si>
    <t>4.4.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</si>
  <si>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</si>
  <si>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2023-2025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</si>
  <si>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</si>
  <si>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4.5.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</si>
  <si>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</si>
  <si>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УКиМО, МБУК "Евпаторийская централизованная библиотечная система"</t>
  </si>
  <si>
    <r>
      <rPr>
        <sz val="10"/>
        <rFont val="Times New Roman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charset val="204"/>
      </rPr>
      <t xml:space="preserve">  </t>
    </r>
  </si>
  <si>
    <t>ДКСМПиМО АГЕ РК, МБУК "Евпаторийский краеведческий музей"</t>
  </si>
  <si>
    <t>4.6.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</si>
  <si>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</si>
  <si>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>ДКСМПиМО АГЕ РК, МАУ "ЕКЭЦ "Малый Иерусалим"</t>
  </si>
  <si>
    <t>4.7.</t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</si>
  <si>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</si>
  <si>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ДКСМПиМО АГЕ РК, МБУК "Евпаторийская централизованная библиотечная система"</t>
  </si>
  <si>
    <t>4.8.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</si>
  <si>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</si>
  <si>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4.9.</t>
  </si>
  <si>
    <t>Обеспечение условий антитеррористической защищенности и пожарной безопасности в музеях, библиотеках</t>
  </si>
  <si>
    <t>ДКСМПиМО АГЕ РК, МБУК "Евпаторийский краеведческий музей", МБУК "Евпаторийская централизованная библиотечная система"</t>
  </si>
  <si>
    <t>4.10.</t>
  </si>
  <si>
    <t xml:space="preserve">Создание модельных муниципальных библиотек </t>
  </si>
  <si>
    <t>2023, 2026</t>
  </si>
  <si>
    <t>УКиМО, ДКСМПиМО АГЕ РК, МБУК "Евпаторийская централизованная библиотечная система"</t>
  </si>
  <si>
    <t>4.11.</t>
  </si>
  <si>
    <t>Техническое оснащение муниципальных музеев</t>
  </si>
  <si>
    <t>ДКСМПиМО АГЕ РК, МБУК "Евпаторийский краевдеческий музей"</t>
  </si>
  <si>
    <t>5.</t>
  </si>
  <si>
    <t xml:space="preserve">Развитие инфраструктуры отрасли культуры, достижение качественного уровня предоставляемых услуг
</t>
  </si>
  <si>
    <t>2022-2026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</si>
  <si>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</si>
  <si>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</si>
  <si>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2022, 2024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</si>
  <si>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</si>
  <si>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</si>
  <si>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Отдел городского строительства администрации города Евпатории Республики Крым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</si>
  <si>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</si>
  <si>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</si>
  <si>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r>
      <rPr>
        <sz val="10"/>
        <rFont val="Times New Roman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charset val="204"/>
      </rPr>
      <t xml:space="preserve"> </t>
    </r>
    <r>
      <rPr>
        <sz val="10"/>
        <rFont val="Times New Roman"/>
        <charset val="204"/>
      </rPr>
      <t>до 31.08.2023</t>
    </r>
  </si>
  <si>
    <t>УКиМО</t>
  </si>
  <si>
    <t>5.5.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</si>
  <si>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</si>
  <si>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>УКиМО, МКУ "ЦООК"</t>
  </si>
  <si>
    <t xml:space="preserve"> </t>
  </si>
  <si>
    <t>5.6.</t>
  </si>
  <si>
    <t>Мероприятия по увековечению памяти погибших при защите Отечества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</si>
  <si>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</si>
  <si>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</si>
  <si>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</si>
  <si>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</si>
  <si>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</si>
  <si>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</si>
  <si>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5.9.</t>
  </si>
  <si>
    <t>Проведение работ по сохранению объектов культурного наследия</t>
  </si>
  <si>
    <t>было 300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</si>
  <si>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</si>
  <si>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</si>
  <si>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5.11.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</si>
  <si>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</si>
  <si>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</si>
  <si>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ДКСМПиМО АГЕ РК, учреждения культуры и дополнительного образования в сфере культуры, подведомственные ДКСМПиМО АГЕ РК; отдел городского строительства администрации города Евпатории Республики Крым</t>
  </si>
  <si>
    <t>5.12.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</si>
  <si>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</si>
  <si>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r>
      <rPr>
        <b/>
        <sz val="10"/>
        <color theme="1"/>
        <rFont val="Times New Roman"/>
        <charset val="204"/>
      </rPr>
      <t>Всего</t>
    </r>
    <r>
      <rPr>
        <sz val="10"/>
        <color theme="1"/>
        <rFont val="Times New Roman"/>
        <charset val="204"/>
      </rPr>
      <t xml:space="preserve">
</t>
    </r>
    <r>
      <rPr>
        <b/>
        <u/>
        <sz val="10"/>
        <color theme="1"/>
        <rFont val="Times New Roman"/>
        <charset val="204"/>
      </rPr>
      <t xml:space="preserve">
</t>
    </r>
  </si>
  <si>
    <t xml:space="preserve">
</t>
  </si>
  <si>
    <t>сбр</t>
  </si>
  <si>
    <t>259 242 220,80</t>
  </si>
  <si>
    <t>248 590 739,00</t>
  </si>
  <si>
    <t>265 921146,30</t>
  </si>
  <si>
    <t xml:space="preserve">Приобретение музыкальных инструментов, оборудования и материалов для детских школ искусств по видам искусств в целях поддержки отрасли культуры </t>
  </si>
</sst>
</file>

<file path=xl/styles.xml><?xml version="1.0" encoding="utf-8"?>
<styleSheet xmlns="http://schemas.openxmlformats.org/spreadsheetml/2006/main">
  <numFmts count="10">
    <numFmt numFmtId="164" formatCode="_-* #\ ##0.00_-;\-* #\ ##0.00_-;_-* &quot;-&quot;??_-;_-@_-"/>
    <numFmt numFmtId="165" formatCode="0.00000"/>
    <numFmt numFmtId="166" formatCode="#\ ##0.00000"/>
    <numFmt numFmtId="167" formatCode="_-* #\ ##0.00000_-;\-* #\ ##0.00000_-;_-* &quot;-&quot;??_-;_-@_-"/>
    <numFmt numFmtId="168" formatCode="#\ ##0"/>
    <numFmt numFmtId="169" formatCode="dd\.mmm"/>
    <numFmt numFmtId="170" formatCode="_-* #\ ##0.00000\ _₽_-;\-* #\ ##0.00000\ _₽_-;_-* &quot;-&quot;?????\ _₽_-;_-@_-"/>
    <numFmt numFmtId="171" formatCode="0\.00_);[Red]\(0\.00\)"/>
    <numFmt numFmtId="172" formatCode="#\ ##0.000"/>
    <numFmt numFmtId="173" formatCode="0.000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i/>
      <sz val="8"/>
      <color theme="1"/>
      <name val="Times New Roman"/>
      <charset val="204"/>
    </font>
    <font>
      <sz val="9"/>
      <color theme="1"/>
      <name val="Times New Roman"/>
      <charset val="204"/>
    </font>
    <font>
      <sz val="12"/>
      <name val="Times New Roman"/>
      <charset val="204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i/>
      <sz val="8"/>
      <color theme="1"/>
      <name val="Times New Roman"/>
      <charset val="204"/>
    </font>
    <font>
      <sz val="10"/>
      <color rgb="FFFF0000"/>
      <name val="Times New Roman"/>
      <charset val="204"/>
    </font>
    <font>
      <b/>
      <sz val="10"/>
      <name val="Times New Roman"/>
      <charset val="204"/>
    </font>
    <font>
      <b/>
      <u/>
      <sz val="10"/>
      <name val="Times New Roman"/>
      <charset val="204"/>
    </font>
    <font>
      <u/>
      <sz val="10"/>
      <name val="Times New Roman"/>
      <charset val="204"/>
    </font>
    <font>
      <b/>
      <u/>
      <sz val="10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12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6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9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1" fillId="2" borderId="0" xfId="0" applyFont="1" applyFill="1" applyBorder="1"/>
    <xf numFmtId="0" fontId="1" fillId="2" borderId="0" xfId="0" applyFont="1" applyFill="1"/>
    <xf numFmtId="0" fontId="1" fillId="0" borderId="3" xfId="0" applyFont="1" applyBorder="1"/>
    <xf numFmtId="0" fontId="1" fillId="0" borderId="0" xfId="0" applyFont="1"/>
    <xf numFmtId="165" fontId="1" fillId="3" borderId="0" xfId="0" applyNumberFormat="1" applyFont="1" applyFill="1"/>
    <xf numFmtId="165" fontId="1" fillId="0" borderId="4" xfId="0" applyNumberFormat="1" applyFont="1" applyBorder="1"/>
    <xf numFmtId="166" fontId="1" fillId="2" borderId="0" xfId="0" applyNumberFormat="1" applyFont="1" applyFill="1" applyBorder="1" applyAlignment="1">
      <alignment horizontal="right"/>
    </xf>
    <xf numFmtId="165" fontId="1" fillId="0" borderId="0" xfId="0" applyNumberFormat="1" applyFont="1" applyBorder="1"/>
    <xf numFmtId="0" fontId="1" fillId="0" borderId="0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7" fontId="6" fillId="4" borderId="1" xfId="1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7" fontId="1" fillId="6" borderId="1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3" fillId="0" borderId="2" xfId="1" applyNumberFormat="1" applyFont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center" vertical="center" wrapText="1"/>
    </xf>
    <xf numFmtId="168" fontId="7" fillId="0" borderId="2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166" fontId="6" fillId="5" borderId="1" xfId="1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/>
    <xf numFmtId="167" fontId="6" fillId="5" borderId="1" xfId="1" applyNumberFormat="1" applyFont="1" applyFill="1" applyBorder="1" applyAlignment="1">
      <alignment horizontal="right" vertical="center" wrapText="1"/>
    </xf>
    <xf numFmtId="167" fontId="5" fillId="6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Border="1"/>
    <xf numFmtId="167" fontId="1" fillId="2" borderId="1" xfId="1" applyNumberFormat="1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165" fontId="1" fillId="2" borderId="11" xfId="0" applyNumberFormat="1" applyFont="1" applyFill="1" applyBorder="1"/>
    <xf numFmtId="165" fontId="1" fillId="2" borderId="1" xfId="0" applyNumberFormat="1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3" fillId="2" borderId="12" xfId="0" applyFont="1" applyFill="1" applyBorder="1"/>
    <xf numFmtId="0" fontId="3" fillId="2" borderId="2" xfId="0" applyFont="1" applyFill="1" applyBorder="1"/>
    <xf numFmtId="165" fontId="1" fillId="2" borderId="13" xfId="0" applyNumberFormat="1" applyFont="1" applyFill="1" applyBorder="1"/>
    <xf numFmtId="165" fontId="1" fillId="0" borderId="11" xfId="0" applyNumberFormat="1" applyFont="1" applyBorder="1"/>
    <xf numFmtId="0" fontId="1" fillId="2" borderId="6" xfId="0" applyFont="1" applyFill="1" applyBorder="1"/>
    <xf numFmtId="0" fontId="1" fillId="0" borderId="12" xfId="0" applyFont="1" applyBorder="1"/>
    <xf numFmtId="0" fontId="3" fillId="2" borderId="6" xfId="0" applyFont="1" applyFill="1" applyBorder="1"/>
    <xf numFmtId="0" fontId="3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167" fontId="6" fillId="5" borderId="2" xfId="1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right" vertical="center"/>
    </xf>
    <xf numFmtId="0" fontId="1" fillId="2" borderId="11" xfId="0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0" fontId="1" fillId="0" borderId="11" xfId="0" applyFont="1" applyBorder="1"/>
    <xf numFmtId="167" fontId="13" fillId="4" borderId="1" xfId="1" applyNumberFormat="1" applyFont="1" applyFill="1" applyBorder="1" applyAlignment="1">
      <alignment horizontal="center" vertical="center" wrapText="1"/>
    </xf>
    <xf numFmtId="166" fontId="13" fillId="4" borderId="1" xfId="1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applyFont="1" applyFill="1" applyBorder="1" applyAlignment="1"/>
    <xf numFmtId="0" fontId="14" fillId="0" borderId="0" xfId="0" applyFont="1" applyFill="1" applyBorder="1" applyAlignment="1"/>
    <xf numFmtId="0" fontId="5" fillId="0" borderId="0" xfId="0" applyFont="1" applyFill="1" applyBorder="1"/>
    <xf numFmtId="165" fontId="1" fillId="2" borderId="4" xfId="0" applyNumberFormat="1" applyFont="1" applyFill="1" applyBorder="1"/>
    <xf numFmtId="0" fontId="1" fillId="2" borderId="3" xfId="0" applyFont="1" applyFill="1" applyBorder="1"/>
    <xf numFmtId="165" fontId="1" fillId="2" borderId="0" xfId="0" applyNumberFormat="1" applyFont="1" applyFill="1"/>
    <xf numFmtId="170" fontId="1" fillId="2" borderId="0" xfId="0" applyNumberFormat="1" applyFont="1" applyFill="1" applyBorder="1"/>
    <xf numFmtId="166" fontId="12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165" fontId="4" fillId="0" borderId="0" xfId="0" applyNumberFormat="1" applyFont="1"/>
    <xf numFmtId="171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/>
    <xf numFmtId="172" fontId="5" fillId="0" borderId="0" xfId="0" applyNumberFormat="1" applyFont="1" applyBorder="1"/>
    <xf numFmtId="0" fontId="4" fillId="0" borderId="0" xfId="0" applyNumberFormat="1" applyFont="1" applyBorder="1"/>
    <xf numFmtId="165" fontId="1" fillId="2" borderId="9" xfId="0" applyNumberFormat="1" applyFont="1" applyFill="1" applyBorder="1"/>
    <xf numFmtId="0" fontId="1" fillId="2" borderId="10" xfId="0" applyFont="1" applyFill="1" applyBorder="1"/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/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5" fillId="7" borderId="0" xfId="0" applyFont="1" applyFill="1"/>
    <xf numFmtId="0" fontId="17" fillId="0" borderId="0" xfId="0" applyFont="1" applyAlignment="1">
      <alignment horizontal="center"/>
    </xf>
    <xf numFmtId="173" fontId="15" fillId="0" borderId="0" xfId="0" applyNumberFormat="1" applyFont="1"/>
    <xf numFmtId="0" fontId="18" fillId="0" borderId="0" xfId="0" applyFont="1"/>
    <xf numFmtId="0" fontId="1" fillId="0" borderId="0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center" vertical="top" wrapText="1"/>
    </xf>
    <xf numFmtId="169" fontId="1" fillId="0" borderId="2" xfId="0" applyNumberFormat="1" applyFont="1" applyBorder="1" applyAlignment="1">
      <alignment horizontal="center" vertical="top" wrapText="1"/>
    </xf>
    <xf numFmtId="169" fontId="1" fillId="6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9" fillId="6" borderId="10" xfId="0" applyFont="1" applyFill="1" applyBorder="1" applyAlignment="1">
      <alignment horizontal="left" vertical="top" wrapText="1"/>
    </xf>
    <xf numFmtId="0" fontId="10" fillId="6" borderId="9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165" fontId="5" fillId="0" borderId="9" xfId="0" applyNumberFormat="1" applyFont="1" applyBorder="1" applyAlignment="1">
      <alignment horizontal="center" vertical="top" wrapText="1"/>
    </xf>
    <xf numFmtId="165" fontId="5" fillId="0" borderId="10" xfId="0" applyNumberFormat="1" applyFont="1" applyBorder="1" applyAlignment="1">
      <alignment horizontal="center" vertical="top" wrapText="1"/>
    </xf>
    <xf numFmtId="0" fontId="10" fillId="6" borderId="9" xfId="0" applyFont="1" applyFill="1" applyBorder="1" applyAlignment="1">
      <alignment horizontal="center" vertical="top" wrapText="1"/>
    </xf>
    <xf numFmtId="0" fontId="10" fillId="6" borderId="10" xfId="0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0" fontId="11" fillId="6" borderId="1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6" fillId="4" borderId="10" xfId="1" applyNumberFormat="1" applyFont="1" applyFill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1" fillId="0" borderId="10" xfId="1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ColWidth="9"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89"/>
      <c r="B1" s="89" t="s">
        <v>0</v>
      </c>
      <c r="C1" s="89" t="s">
        <v>1</v>
      </c>
      <c r="D1" s="8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89" t="s">
        <v>7</v>
      </c>
    </row>
    <row r="2" spans="1:9">
      <c r="A2" s="90" t="s">
        <v>8</v>
      </c>
      <c r="B2" s="90">
        <v>20876.057000000001</v>
      </c>
      <c r="C2" s="90">
        <v>20901.004550000001</v>
      </c>
      <c r="D2" s="90">
        <v>22722.201000000001</v>
      </c>
      <c r="E2" s="90">
        <v>22722.201000000001</v>
      </c>
      <c r="F2" s="90">
        <v>22913.006000000001</v>
      </c>
      <c r="G2" s="90">
        <v>22913.006000000001</v>
      </c>
      <c r="H2" s="90">
        <v>22361.696</v>
      </c>
      <c r="I2" s="90">
        <v>22361.696</v>
      </c>
    </row>
    <row r="3" spans="1:9">
      <c r="A3" s="90" t="s">
        <v>9</v>
      </c>
      <c r="B3" s="90">
        <v>17393.106</v>
      </c>
      <c r="C3" s="90">
        <v>17393.106</v>
      </c>
      <c r="D3" s="90">
        <v>17670.485000000001</v>
      </c>
      <c r="E3" s="90">
        <v>17670.485000000001</v>
      </c>
      <c r="F3" s="90">
        <v>18699.487000000001</v>
      </c>
      <c r="H3" s="90">
        <v>19414.481</v>
      </c>
      <c r="I3" s="90">
        <v>19414.481</v>
      </c>
    </row>
    <row r="4" spans="1:9" hidden="1">
      <c r="A4" s="91" t="s">
        <v>10</v>
      </c>
      <c r="B4" s="91"/>
      <c r="C4" s="90"/>
      <c r="D4">
        <v>0</v>
      </c>
      <c r="E4">
        <v>0</v>
      </c>
      <c r="F4">
        <v>0</v>
      </c>
      <c r="H4">
        <v>0</v>
      </c>
    </row>
    <row r="5" spans="1:9" hidden="1">
      <c r="A5" s="91" t="s">
        <v>11</v>
      </c>
      <c r="B5" s="91"/>
      <c r="C5" s="90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91" t="s">
        <v>12</v>
      </c>
      <c r="B6" s="91"/>
      <c r="C6" s="90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90" t="s">
        <v>13</v>
      </c>
      <c r="B7" s="90">
        <v>68900.206999999995</v>
      </c>
      <c r="C7" s="92">
        <v>69044.206999999995</v>
      </c>
      <c r="D7" s="90">
        <v>70384.271999999997</v>
      </c>
      <c r="E7" s="90">
        <v>70528.271999999997</v>
      </c>
      <c r="F7" s="90">
        <v>69048.188999999998</v>
      </c>
      <c r="G7" s="90">
        <v>69192.188999999998</v>
      </c>
      <c r="H7" s="90">
        <v>69955.031000000003</v>
      </c>
      <c r="I7" s="90">
        <v>70099.031000000003</v>
      </c>
    </row>
    <row r="8" spans="1:9" hidden="1">
      <c r="A8" s="91" t="s">
        <v>14</v>
      </c>
      <c r="B8" s="91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91" t="s">
        <v>15</v>
      </c>
      <c r="B9" s="91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91" t="s">
        <v>16</v>
      </c>
      <c r="B10" s="91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91" t="s">
        <v>17</v>
      </c>
      <c r="B11" s="91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91" t="s">
        <v>18</v>
      </c>
      <c r="B12" s="91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91" t="s">
        <v>19</v>
      </c>
      <c r="B13" s="91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91" t="s">
        <v>20</v>
      </c>
      <c r="B14" s="91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93" t="s">
        <v>21</v>
      </c>
      <c r="B15" s="90">
        <v>3092.0369999999998</v>
      </c>
      <c r="C15" s="90">
        <v>8623.5106799999994</v>
      </c>
      <c r="D15" s="90">
        <v>3362.5360000000001</v>
      </c>
      <c r="E15" s="90">
        <v>3362.5360000000001</v>
      </c>
      <c r="F15" s="90">
        <v>3529.1410000000001</v>
      </c>
      <c r="G15" s="90">
        <v>3529.1410000000001</v>
      </c>
      <c r="H15" s="90">
        <v>3672.1579999999999</v>
      </c>
      <c r="I15" s="90">
        <v>3672.1579999999999</v>
      </c>
    </row>
    <row r="16" spans="1:9">
      <c r="A16" s="93" t="s">
        <v>22</v>
      </c>
      <c r="B16" s="90">
        <v>19290.412</v>
      </c>
      <c r="C16" s="90">
        <v>19290.412</v>
      </c>
      <c r="D16" s="90">
        <v>22034.955999999998</v>
      </c>
      <c r="E16" s="90">
        <v>22034.955999999998</v>
      </c>
      <c r="F16" s="90">
        <v>22081.973999999998</v>
      </c>
      <c r="G16" s="90">
        <v>22081.973999999998</v>
      </c>
      <c r="H16" s="90">
        <v>22433.264999999999</v>
      </c>
      <c r="I16" s="90">
        <v>22433.264999999999</v>
      </c>
    </row>
    <row r="17" spans="1:9" hidden="1">
      <c r="A17" s="91" t="s">
        <v>23</v>
      </c>
      <c r="B17" s="91"/>
      <c r="C17" s="90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91" t="s">
        <v>24</v>
      </c>
      <c r="B18" s="91"/>
      <c r="C18" s="94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91" t="s">
        <v>25</v>
      </c>
      <c r="B19" s="91"/>
      <c r="C19" s="90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91" t="s">
        <v>26</v>
      </c>
      <c r="B20" s="91"/>
      <c r="C20" s="94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91" t="s">
        <v>27</v>
      </c>
      <c r="B21" s="91"/>
      <c r="C21" s="94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91" t="s">
        <v>28</v>
      </c>
      <c r="B22" s="91"/>
      <c r="C22" s="94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91" t="s">
        <v>29</v>
      </c>
      <c r="B23" s="91"/>
      <c r="C23" s="94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93" t="s">
        <v>30</v>
      </c>
      <c r="B24" s="90">
        <v>7737.5919999999996</v>
      </c>
      <c r="C24" s="90">
        <v>7737.5919999999996</v>
      </c>
      <c r="D24" s="90">
        <v>6644.36</v>
      </c>
      <c r="E24" s="90">
        <v>6644.36</v>
      </c>
      <c r="F24" s="90">
        <v>1202.3779999999999</v>
      </c>
      <c r="G24" s="90">
        <v>1202.3779999999999</v>
      </c>
      <c r="H24" s="90">
        <v>0</v>
      </c>
    </row>
    <row r="25" spans="1:9">
      <c r="A25" s="93" t="s">
        <v>31</v>
      </c>
      <c r="B25" s="90">
        <v>238</v>
      </c>
      <c r="C25" s="90">
        <v>238</v>
      </c>
      <c r="D25" s="90">
        <v>200</v>
      </c>
      <c r="E25" s="90">
        <v>200</v>
      </c>
      <c r="F25" s="90">
        <v>200</v>
      </c>
      <c r="G25" s="90">
        <v>200</v>
      </c>
      <c r="H25" s="90">
        <v>0</v>
      </c>
    </row>
    <row r="26" spans="1:9">
      <c r="A26" s="93" t="s">
        <v>32</v>
      </c>
      <c r="B26" s="93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93" t="s">
        <v>33</v>
      </c>
      <c r="B27" s="90">
        <v>6237.6570000000002</v>
      </c>
      <c r="C27" s="90">
        <v>6237.6570000000002</v>
      </c>
      <c r="D27" s="90">
        <v>2512.7890000000002</v>
      </c>
      <c r="E27" s="90">
        <v>2512.7890000000002</v>
      </c>
      <c r="F27" s="90">
        <v>0</v>
      </c>
      <c r="G27" s="90">
        <v>0</v>
      </c>
      <c r="H27" s="90">
        <v>505.11599999999999</v>
      </c>
      <c r="I27" s="90">
        <v>10102.311</v>
      </c>
    </row>
    <row r="28" spans="1:9" hidden="1">
      <c r="A28" s="91" t="s">
        <v>34</v>
      </c>
      <c r="B28" s="91"/>
      <c r="C28" s="94">
        <v>1660.9970000000001</v>
      </c>
      <c r="D28">
        <v>399.98899999999998</v>
      </c>
      <c r="E28">
        <v>399.98899999999998</v>
      </c>
      <c r="F28" s="90">
        <v>0</v>
      </c>
      <c r="G28" s="90">
        <v>0</v>
      </c>
      <c r="H28" s="90">
        <v>0</v>
      </c>
      <c r="I28" s="90">
        <v>0</v>
      </c>
    </row>
    <row r="29" spans="1:9" hidden="1">
      <c r="A29" s="91" t="s">
        <v>35</v>
      </c>
      <c r="B29" s="91"/>
      <c r="C29">
        <v>3000</v>
      </c>
      <c r="D29">
        <v>0</v>
      </c>
      <c r="E29">
        <v>0</v>
      </c>
      <c r="F29" s="90">
        <v>0</v>
      </c>
      <c r="G29" s="90">
        <v>0</v>
      </c>
      <c r="H29" s="90">
        <v>0</v>
      </c>
      <c r="I29" s="90">
        <v>0</v>
      </c>
    </row>
    <row r="30" spans="1:9" hidden="1">
      <c r="A30" s="91" t="s">
        <v>36</v>
      </c>
      <c r="B30" s="91"/>
      <c r="C30">
        <v>1500</v>
      </c>
      <c r="D30">
        <v>2000</v>
      </c>
      <c r="E30">
        <v>2000</v>
      </c>
      <c r="F30" s="90">
        <v>0</v>
      </c>
      <c r="G30" s="90">
        <v>0</v>
      </c>
      <c r="H30" s="90">
        <v>0</v>
      </c>
      <c r="I30" s="90">
        <v>0</v>
      </c>
    </row>
    <row r="31" spans="1:9" hidden="1">
      <c r="A31" s="91" t="s">
        <v>37</v>
      </c>
      <c r="B31" s="91"/>
      <c r="C31">
        <v>76.66</v>
      </c>
      <c r="D31">
        <v>112.8</v>
      </c>
      <c r="E31">
        <v>112.8</v>
      </c>
      <c r="F31" s="90">
        <v>0</v>
      </c>
      <c r="G31" s="90">
        <v>0</v>
      </c>
      <c r="H31" s="90">
        <v>0</v>
      </c>
      <c r="I31" s="90">
        <v>0</v>
      </c>
    </row>
    <row r="32" spans="1:9" hidden="1">
      <c r="A32" s="91" t="s">
        <v>38</v>
      </c>
      <c r="B32" s="91"/>
      <c r="F32" s="90"/>
      <c r="G32" s="90"/>
      <c r="H32" s="90">
        <v>505.11599999999999</v>
      </c>
      <c r="I32" s="90">
        <v>9597.1949999999997</v>
      </c>
    </row>
    <row r="33" spans="1:15" ht="21">
      <c r="A33" s="93" t="s">
        <v>39</v>
      </c>
      <c r="B33" s="90">
        <v>11739.934999999999</v>
      </c>
      <c r="C33" s="90">
        <v>11739.934999999999</v>
      </c>
      <c r="D33" s="90">
        <v>10823.208000000001</v>
      </c>
      <c r="E33" s="90">
        <v>10823.208000000001</v>
      </c>
      <c r="F33" s="90">
        <v>9984.1929999999993</v>
      </c>
      <c r="G33" s="90">
        <v>9984.1929999999993</v>
      </c>
      <c r="H33" s="90">
        <v>10163.021000000001</v>
      </c>
      <c r="I33" s="90">
        <v>10163.021000000001</v>
      </c>
      <c r="M33" s="98">
        <v>2019</v>
      </c>
      <c r="N33" s="98">
        <v>2020</v>
      </c>
      <c r="O33" s="98">
        <v>2021</v>
      </c>
    </row>
    <row r="34" spans="1:15" hidden="1">
      <c r="A34" s="95" t="s">
        <v>40</v>
      </c>
      <c r="B34" s="95"/>
      <c r="C34">
        <v>5955.7070000000003</v>
      </c>
      <c r="D34">
        <v>5166.3249999999998</v>
      </c>
      <c r="E34">
        <v>5166.3249999999998</v>
      </c>
      <c r="F34" s="94">
        <v>4763.5259999999998</v>
      </c>
      <c r="G34" s="94">
        <v>4763.5259999999998</v>
      </c>
      <c r="H34" s="94">
        <v>4763.5259999999998</v>
      </c>
      <c r="I34" s="94">
        <v>4763.5259999999998</v>
      </c>
    </row>
    <row r="35" spans="1:15" hidden="1">
      <c r="A35" s="96" t="s">
        <v>41</v>
      </c>
      <c r="B35" s="96"/>
      <c r="C35">
        <v>5784.2280000000001</v>
      </c>
      <c r="D35">
        <v>5656.8829999999998</v>
      </c>
      <c r="E35">
        <v>5656.8829999999998</v>
      </c>
      <c r="F35" s="94">
        <v>5220.6670000000004</v>
      </c>
      <c r="G35" s="94">
        <v>5220.6670000000004</v>
      </c>
      <c r="H35" s="94">
        <v>5399.4949999999999</v>
      </c>
      <c r="I35" s="94">
        <v>5399.4949999999999</v>
      </c>
    </row>
    <row r="36" spans="1:15" hidden="1"/>
    <row r="37" spans="1:15">
      <c r="A37" t="s">
        <v>42</v>
      </c>
      <c r="B37">
        <v>155505.003</v>
      </c>
      <c r="C37" s="97">
        <v>161205.42420000001</v>
      </c>
      <c r="D37">
        <v>156354.807</v>
      </c>
      <c r="E37" s="97">
        <v>156498.807</v>
      </c>
      <c r="F37">
        <v>147658.36799999999</v>
      </c>
      <c r="G37" s="97">
        <v>147802.36799999999</v>
      </c>
      <c r="H37">
        <v>148504.76800000001</v>
      </c>
      <c r="I37" s="97">
        <v>158245.96299999999</v>
      </c>
      <c r="M37">
        <v>4345</v>
      </c>
    </row>
    <row r="38" spans="1:15">
      <c r="A38" t="s">
        <v>43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44</v>
      </c>
      <c r="B39">
        <v>421.82105999999999</v>
      </c>
      <c r="D39">
        <v>144</v>
      </c>
      <c r="F39">
        <v>144</v>
      </c>
      <c r="H39">
        <v>9741.1949999999997</v>
      </c>
      <c r="M39" s="99">
        <v>10</v>
      </c>
    </row>
    <row r="40" spans="1:15">
      <c r="A40" t="s">
        <v>45</v>
      </c>
      <c r="B40" s="90">
        <v>161205.42420000001</v>
      </c>
      <c r="D40" s="90">
        <v>156498.807</v>
      </c>
      <c r="F40">
        <v>147802.36799999999</v>
      </c>
      <c r="H40">
        <v>158245.96299999999</v>
      </c>
      <c r="M40" s="99">
        <v>45</v>
      </c>
    </row>
    <row r="41" spans="1:15">
      <c r="M41" s="99">
        <v>670.88599999999997</v>
      </c>
    </row>
    <row r="42" spans="1:15">
      <c r="M42" s="99">
        <v>788</v>
      </c>
    </row>
    <row r="43" spans="1:15">
      <c r="A43" t="s">
        <v>46</v>
      </c>
      <c r="M43" s="99">
        <v>448</v>
      </c>
    </row>
    <row r="44" spans="1:15">
      <c r="M44" s="99">
        <v>1500</v>
      </c>
    </row>
    <row r="45" spans="1:15">
      <c r="M45" s="99">
        <v>76.66</v>
      </c>
      <c r="N45">
        <v>4345</v>
      </c>
    </row>
    <row r="46" spans="1:15">
      <c r="M46" s="99">
        <v>5955.7969999999996</v>
      </c>
      <c r="N46">
        <v>2000</v>
      </c>
      <c r="O46">
        <v>20436.890530000001</v>
      </c>
    </row>
    <row r="47" spans="1:15" ht="15.75">
      <c r="L47" t="s">
        <v>47</v>
      </c>
      <c r="M47" s="99">
        <v>14039.343000000001</v>
      </c>
      <c r="N47">
        <v>6345</v>
      </c>
      <c r="O47" s="100">
        <v>20436.890530000001</v>
      </c>
    </row>
    <row r="50" spans="13:15">
      <c r="M50" s="99"/>
      <c r="O50">
        <v>40821.233500000002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21"/>
  <sheetViews>
    <sheetView tabSelected="1" view="pageBreakPreview" topLeftCell="A40" zoomScale="120" zoomScaleNormal="100" zoomScaleSheetLayoutView="120" workbookViewId="0">
      <selection activeCell="K53" sqref="K53"/>
    </sheetView>
  </sheetViews>
  <sheetFormatPr defaultColWidth="9" defaultRowHeight="21.75" customHeight="1"/>
  <cols>
    <col min="1" max="1" width="5" style="11" customWidth="1"/>
    <col min="2" max="2" width="34" style="12" customWidth="1"/>
    <col min="3" max="3" width="7.85546875" style="12" customWidth="1"/>
    <col min="4" max="4" width="29.42578125" style="12" customWidth="1"/>
    <col min="5" max="5" width="24.85546875" style="12" customWidth="1"/>
    <col min="6" max="6" width="16" style="13" customWidth="1"/>
    <col min="7" max="7" width="14.42578125" style="12" customWidth="1"/>
    <col min="8" max="8" width="13.140625" style="14" customWidth="1"/>
    <col min="9" max="9" width="13.42578125" style="14" customWidth="1"/>
    <col min="10" max="10" width="14.5703125" style="14" customWidth="1"/>
    <col min="11" max="12" width="13.85546875" style="15" customWidth="1"/>
    <col min="13" max="13" width="14.28515625" style="9" customWidth="1"/>
    <col min="14" max="14" width="15.42578125" style="9" customWidth="1"/>
    <col min="15" max="15" width="14" style="9" customWidth="1"/>
    <col min="16" max="52" width="9" style="9"/>
    <col min="53" max="16384" width="9" style="12"/>
  </cols>
  <sheetData>
    <row r="1" spans="1:53" ht="21.75" customHeight="1">
      <c r="A1" s="1"/>
      <c r="B1" s="1"/>
      <c r="C1" s="1"/>
      <c r="D1" s="1"/>
      <c r="E1" s="1"/>
      <c r="F1" s="16"/>
      <c r="G1" s="17"/>
      <c r="H1" s="17"/>
      <c r="I1" s="17"/>
      <c r="J1" s="17"/>
      <c r="K1" s="17"/>
      <c r="L1" s="101"/>
      <c r="M1" s="101"/>
    </row>
    <row r="2" spans="1:53" ht="21.75" customHeight="1">
      <c r="A2" s="1"/>
      <c r="B2" s="1"/>
      <c r="C2" s="1"/>
      <c r="D2" s="1"/>
      <c r="E2" s="1"/>
      <c r="F2" s="16"/>
      <c r="G2" s="101" t="s">
        <v>48</v>
      </c>
      <c r="H2" s="101"/>
      <c r="I2" s="101"/>
      <c r="J2" s="101"/>
      <c r="K2" s="101"/>
      <c r="L2" s="101"/>
      <c r="M2" s="101"/>
    </row>
    <row r="3" spans="1:53" ht="21.75" customHeight="1">
      <c r="A3" s="1"/>
      <c r="B3" s="1"/>
      <c r="C3" s="1"/>
      <c r="D3" s="1"/>
      <c r="E3" s="1"/>
      <c r="F3" s="16"/>
      <c r="G3" s="101"/>
      <c r="H3" s="101"/>
      <c r="I3" s="101"/>
      <c r="J3" s="101"/>
      <c r="K3" s="101"/>
      <c r="L3" s="101"/>
      <c r="M3" s="101"/>
    </row>
    <row r="4" spans="1:53" ht="10.5" customHeight="1">
      <c r="A4" s="1"/>
      <c r="B4" s="1"/>
      <c r="C4" s="1"/>
      <c r="D4" s="1"/>
      <c r="E4" s="1"/>
      <c r="F4" s="16"/>
      <c r="G4" s="17"/>
      <c r="H4" s="17"/>
      <c r="I4" s="17"/>
      <c r="J4" s="17"/>
      <c r="K4" s="17"/>
      <c r="L4" s="17"/>
      <c r="M4" s="17"/>
    </row>
    <row r="5" spans="1:53" ht="21.75" customHeight="1">
      <c r="A5" s="175" t="s">
        <v>49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"/>
      <c r="O5" s="17"/>
      <c r="P5" s="17"/>
      <c r="Q5" s="17"/>
      <c r="R5" s="17"/>
      <c r="S5" s="17"/>
    </row>
    <row r="6" spans="1:53" ht="12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"/>
      <c r="O6" s="17"/>
      <c r="P6" s="17"/>
      <c r="Q6" s="17"/>
      <c r="R6" s="17"/>
      <c r="S6" s="17"/>
    </row>
    <row r="7" spans="1:53" ht="1.5" customHeight="1">
      <c r="A7" s="176"/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1:53" ht="21.75" customHeight="1">
      <c r="A8" s="102" t="s">
        <v>50</v>
      </c>
      <c r="B8" s="102" t="s">
        <v>51</v>
      </c>
      <c r="C8" s="102" t="s">
        <v>52</v>
      </c>
      <c r="D8" s="102" t="s">
        <v>53</v>
      </c>
      <c r="E8" s="102" t="s">
        <v>54</v>
      </c>
      <c r="F8" s="102" t="s">
        <v>55</v>
      </c>
      <c r="G8" s="102" t="s">
        <v>56</v>
      </c>
      <c r="H8" s="173"/>
      <c r="I8" s="173"/>
      <c r="J8" s="173"/>
      <c r="K8" s="173"/>
      <c r="L8" s="173"/>
      <c r="M8" s="173"/>
    </row>
    <row r="9" spans="1:53" ht="21.75" customHeight="1">
      <c r="A9" s="103"/>
      <c r="B9" s="103"/>
      <c r="C9" s="103"/>
      <c r="D9" s="103"/>
      <c r="E9" s="103"/>
      <c r="F9" s="103"/>
      <c r="G9" s="104"/>
      <c r="H9" s="174"/>
      <c r="I9" s="174"/>
      <c r="J9" s="174"/>
      <c r="K9" s="174"/>
      <c r="L9" s="174"/>
      <c r="M9" s="174"/>
    </row>
    <row r="10" spans="1:53" s="1" customFormat="1" ht="21.75" customHeight="1">
      <c r="A10" s="103"/>
      <c r="B10" s="103"/>
      <c r="C10" s="103"/>
      <c r="D10" s="103"/>
      <c r="E10" s="103"/>
      <c r="F10" s="103"/>
      <c r="G10" s="102" t="s">
        <v>57</v>
      </c>
      <c r="H10" s="102" t="s">
        <v>58</v>
      </c>
      <c r="I10" s="102" t="s">
        <v>59</v>
      </c>
      <c r="J10" s="177" t="s">
        <v>60</v>
      </c>
      <c r="K10" s="111" t="s">
        <v>61</v>
      </c>
      <c r="L10" s="111" t="s">
        <v>62</v>
      </c>
      <c r="M10" s="102" t="s">
        <v>63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3" s="1" customFormat="1" ht="21.75" customHeight="1">
      <c r="A11" s="104"/>
      <c r="B11" s="104"/>
      <c r="C11" s="104"/>
      <c r="D11" s="104"/>
      <c r="E11" s="104"/>
      <c r="F11" s="104"/>
      <c r="G11" s="103"/>
      <c r="H11" s="103"/>
      <c r="I11" s="103"/>
      <c r="J11" s="177"/>
      <c r="K11" s="112"/>
      <c r="L11" s="112"/>
      <c r="M11" s="104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3" s="2" customFormat="1" ht="21.75" customHeight="1">
      <c r="A12" s="18">
        <v>1</v>
      </c>
      <c r="B12" s="18">
        <v>2</v>
      </c>
      <c r="C12" s="18">
        <v>3</v>
      </c>
      <c r="D12" s="18">
        <v>4</v>
      </c>
      <c r="E12" s="18">
        <v>5</v>
      </c>
      <c r="F12" s="18">
        <v>6</v>
      </c>
      <c r="G12" s="18">
        <v>7</v>
      </c>
      <c r="H12" s="19">
        <v>8</v>
      </c>
      <c r="I12" s="19">
        <v>9</v>
      </c>
      <c r="J12" s="19">
        <v>10</v>
      </c>
      <c r="K12" s="31">
        <v>11</v>
      </c>
      <c r="L12" s="19">
        <v>12</v>
      </c>
      <c r="M12" s="19">
        <v>13</v>
      </c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</row>
    <row r="13" spans="1:53" s="3" customFormat="1" ht="21.75" customHeight="1">
      <c r="A13" s="105" t="s">
        <v>64</v>
      </c>
      <c r="B13" s="108" t="s">
        <v>65</v>
      </c>
      <c r="C13" s="105" t="s">
        <v>66</v>
      </c>
      <c r="D13" s="108" t="s">
        <v>67</v>
      </c>
      <c r="E13" s="21" t="s">
        <v>68</v>
      </c>
      <c r="F13" s="22">
        <f>SUM(G13:M13)</f>
        <v>778720.48245999997</v>
      </c>
      <c r="G13" s="23">
        <f t="shared" ref="G13:L13" si="0">G19+G25+G31+G37+G43+G49+G55+G61</f>
        <v>88103.18</v>
      </c>
      <c r="H13" s="23">
        <f t="shared" si="0"/>
        <v>91707.334159999999</v>
      </c>
      <c r="I13" s="23">
        <f t="shared" si="0"/>
        <v>98967.611000000004</v>
      </c>
      <c r="J13" s="23">
        <f t="shared" si="0"/>
        <v>111758.497</v>
      </c>
      <c r="K13" s="33">
        <f t="shared" si="0"/>
        <v>124956.03899999999</v>
      </c>
      <c r="L13" s="33">
        <f t="shared" si="0"/>
        <v>126190.548</v>
      </c>
      <c r="M13" s="33">
        <f>M19+M25+M31+M37+M43+M49+M55+M61+M67</f>
        <v>137037.2733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41"/>
      <c r="AS13" s="42"/>
      <c r="AT13" s="42"/>
      <c r="AU13" s="42"/>
      <c r="AV13" s="42"/>
      <c r="AW13" s="42"/>
      <c r="AX13" s="42"/>
      <c r="AY13" s="42"/>
      <c r="AZ13" s="47"/>
      <c r="BA13" s="48"/>
    </row>
    <row r="14" spans="1:53" s="3" customFormat="1" ht="21.75" customHeight="1">
      <c r="A14" s="106"/>
      <c r="B14" s="109"/>
      <c r="C14" s="106"/>
      <c r="D14" s="109"/>
      <c r="E14" s="21" t="s">
        <v>69</v>
      </c>
      <c r="F14" s="22">
        <f t="shared" ref="F14:F23" si="1">G14+H14+I14+J14+K14+L14+M14</f>
        <v>5136.7659999999996</v>
      </c>
      <c r="G14" s="23">
        <f>G26+G32+G38+G44+G50+G56+G62</f>
        <v>0</v>
      </c>
      <c r="H14" s="23">
        <f>H20+H26+H32+H38+H44+H50+H56+H62</f>
        <v>903.1</v>
      </c>
      <c r="I14" s="23">
        <f>I20+I26+I32+I38+I44+I50+I56+I62</f>
        <v>0</v>
      </c>
      <c r="J14" s="23">
        <f>J20+J26+J32+J38+J44+J50+J56+J62</f>
        <v>0</v>
      </c>
      <c r="K14" s="35">
        <f>K20+K26+K32+K38+K44+K50+K56</f>
        <v>0</v>
      </c>
      <c r="L14" s="35">
        <f t="shared" ref="L14" si="2">L20+L26+L32+L38+L44+L50+L56</f>
        <v>0</v>
      </c>
      <c r="M14" s="35">
        <f>M68</f>
        <v>4233.6660000000002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41"/>
      <c r="AS14" s="42"/>
      <c r="AT14" s="42"/>
      <c r="AU14" s="42"/>
      <c r="AV14" s="42"/>
      <c r="AW14" s="42"/>
      <c r="AX14" s="42"/>
      <c r="AY14" s="42"/>
      <c r="AZ14" s="47"/>
      <c r="BA14" s="48"/>
    </row>
    <row r="15" spans="1:53" s="3" customFormat="1" ht="27" customHeight="1">
      <c r="A15" s="106"/>
      <c r="B15" s="109"/>
      <c r="C15" s="106"/>
      <c r="D15" s="109"/>
      <c r="E15" s="21" t="s">
        <v>70</v>
      </c>
      <c r="F15" s="22">
        <f t="shared" si="1"/>
        <v>0</v>
      </c>
      <c r="G15" s="23">
        <f>G21+G27+G33+G39+G45+G51+G63</f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35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41"/>
      <c r="AS15" s="42"/>
      <c r="AT15" s="42"/>
      <c r="AU15" s="42"/>
      <c r="AV15" s="42"/>
      <c r="AW15" s="42"/>
      <c r="AX15" s="42"/>
      <c r="AY15" s="42"/>
      <c r="AZ15" s="47"/>
      <c r="BA15" s="48"/>
    </row>
    <row r="16" spans="1:53" s="3" customFormat="1" ht="19.5" customHeight="1">
      <c r="A16" s="106"/>
      <c r="B16" s="109"/>
      <c r="C16" s="106"/>
      <c r="D16" s="109"/>
      <c r="E16" s="21" t="s">
        <v>71</v>
      </c>
      <c r="F16" s="22">
        <f t="shared" si="1"/>
        <v>856.92088000000001</v>
      </c>
      <c r="G16" s="23">
        <f>G22+G28+G34+G40+G46+G58+G64</f>
        <v>116.25</v>
      </c>
      <c r="H16" s="23">
        <f>H22+H28+H34+H40+H46+H52+H58+H64</f>
        <v>159.50658000000001</v>
      </c>
      <c r="I16" s="23">
        <f>I22+I28+I34+I40+I46+I52+I58+I64</f>
        <v>106.4</v>
      </c>
      <c r="J16" s="23">
        <f>J22+J28+J34+J40+J46+J52+J58+J64</f>
        <v>108</v>
      </c>
      <c r="K16" s="33">
        <f>K22+K28+K34+K40+K46+K52+K58</f>
        <v>108</v>
      </c>
      <c r="L16" s="33">
        <f>L22+L28+L34+L40+L46+L52+L58</f>
        <v>108</v>
      </c>
      <c r="M16" s="33">
        <f>M22+M28+M34+M40+M46+M52+M58+M70</f>
        <v>150.76429999999999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41"/>
      <c r="AS16" s="42"/>
      <c r="AT16" s="42"/>
      <c r="AU16" s="42"/>
      <c r="AV16" s="42"/>
      <c r="AW16" s="42"/>
      <c r="AX16" s="42"/>
      <c r="AY16" s="42"/>
      <c r="AZ16" s="47"/>
      <c r="BA16" s="48"/>
    </row>
    <row r="17" spans="1:53" s="3" customFormat="1" ht="21.75" customHeight="1">
      <c r="A17" s="106"/>
      <c r="B17" s="109"/>
      <c r="C17" s="106"/>
      <c r="D17" s="109"/>
      <c r="E17" s="21" t="s">
        <v>72</v>
      </c>
      <c r="F17" s="22">
        <f t="shared" si="1"/>
        <v>772726.79557999992</v>
      </c>
      <c r="G17" s="23">
        <f>G23+G29+G35+G41+G47+G53+G59</f>
        <v>87986.93</v>
      </c>
      <c r="H17" s="23">
        <f>H23+H29+H35+H41+H47+H53+H59+H65</f>
        <v>90644.727580000006</v>
      </c>
      <c r="I17" s="23">
        <f>I23+I29+I35+I41+I47+I53+I59+I65</f>
        <v>98861.210999999996</v>
      </c>
      <c r="J17" s="23">
        <f t="shared" ref="J17" si="3">J23+J29+J35+J41+J47+J53+J59+J65</f>
        <v>111650.497</v>
      </c>
      <c r="K17" s="33">
        <f>K23+K29+K35+K41+K47+K53+K59</f>
        <v>124848.03899999999</v>
      </c>
      <c r="L17" s="33">
        <f t="shared" ref="L17" si="4">L23+L29+L35+L41+L47+L53+L59</f>
        <v>126082.548</v>
      </c>
      <c r="M17" s="33">
        <f>M23+M29+M35+M41+M47+M53+M59+M71</f>
        <v>132652.84299999999</v>
      </c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41"/>
      <c r="AS17" s="42"/>
      <c r="AT17" s="42"/>
      <c r="AU17" s="42"/>
      <c r="AV17" s="42"/>
      <c r="AW17" s="42"/>
      <c r="AX17" s="42"/>
      <c r="AY17" s="42"/>
      <c r="AZ17" s="47"/>
      <c r="BA17" s="48"/>
    </row>
    <row r="18" spans="1:53" s="4" customFormat="1" ht="17.25" customHeight="1">
      <c r="A18" s="107"/>
      <c r="B18" s="110"/>
      <c r="C18" s="107"/>
      <c r="D18" s="110"/>
      <c r="E18" s="20" t="s">
        <v>73</v>
      </c>
      <c r="F18" s="22">
        <f t="shared" si="1"/>
        <v>0</v>
      </c>
      <c r="G18" s="23"/>
      <c r="H18" s="23">
        <f>H24+H30+H36+H42+H48+H54+H60</f>
        <v>0</v>
      </c>
      <c r="I18" s="23">
        <f>I24+I30+I36+I42+I48+I54+I60</f>
        <v>0</v>
      </c>
      <c r="J18" s="23">
        <f>J24+J30+J36+J42+J48+J54+J60</f>
        <v>0</v>
      </c>
      <c r="K18" s="35">
        <f>K24+K30+K36+K42+K48+K54+K60</f>
        <v>0</v>
      </c>
      <c r="L18" s="35">
        <f t="shared" ref="L18" si="5">L24+L30+L36+L42+L48+L54+L60</f>
        <v>0</v>
      </c>
      <c r="M18" s="35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43"/>
      <c r="AS18" s="44"/>
      <c r="AT18" s="44"/>
      <c r="AU18" s="44"/>
      <c r="AV18" s="44"/>
      <c r="AW18" s="44"/>
      <c r="AX18" s="44"/>
      <c r="AY18" s="44"/>
      <c r="AZ18" s="49"/>
      <c r="BA18" s="50"/>
    </row>
    <row r="19" spans="1:53" s="4" customFormat="1" ht="21.75" customHeight="1">
      <c r="A19" s="108" t="s">
        <v>74</v>
      </c>
      <c r="B19" s="124" t="s">
        <v>75</v>
      </c>
      <c r="C19" s="105" t="s">
        <v>76</v>
      </c>
      <c r="D19" s="108" t="s">
        <v>77</v>
      </c>
      <c r="E19" s="21" t="s">
        <v>68</v>
      </c>
      <c r="F19" s="22">
        <f t="shared" si="1"/>
        <v>1943.34</v>
      </c>
      <c r="G19" s="23">
        <f>G20+G22+G23+G24</f>
        <v>1281.3399999999999</v>
      </c>
      <c r="H19" s="23">
        <f>H20+H22+H23+H24</f>
        <v>200</v>
      </c>
      <c r="I19" s="23">
        <f>I20+I22+I23+I24</f>
        <v>246</v>
      </c>
      <c r="J19" s="23">
        <f>J20+J22+J23+J24</f>
        <v>216</v>
      </c>
      <c r="K19" s="35">
        <f t="shared" ref="K19" si="6">K20+K22+K23+K24</f>
        <v>0</v>
      </c>
      <c r="L19" s="35">
        <f t="shared" ref="L19:M19" si="7">L20+L22+L23+L24</f>
        <v>0</v>
      </c>
      <c r="M19" s="35">
        <f t="shared" si="7"/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43"/>
      <c r="AS19" s="44"/>
      <c r="AT19" s="44"/>
      <c r="AU19" s="44"/>
      <c r="AV19" s="44"/>
      <c r="AW19" s="44"/>
      <c r="AX19" s="44"/>
      <c r="AY19" s="44"/>
      <c r="AZ19" s="49"/>
      <c r="BA19" s="50"/>
    </row>
    <row r="20" spans="1:53" s="4" customFormat="1" ht="21.75" customHeight="1">
      <c r="A20" s="109"/>
      <c r="B20" s="125"/>
      <c r="C20" s="106"/>
      <c r="D20" s="109"/>
      <c r="E20" s="21" t="s">
        <v>69</v>
      </c>
      <c r="F20" s="22">
        <f t="shared" si="1"/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43"/>
      <c r="AS20" s="44"/>
      <c r="AT20" s="44"/>
      <c r="AU20" s="44"/>
      <c r="AV20" s="44"/>
      <c r="AW20" s="44"/>
      <c r="AX20" s="44"/>
      <c r="AY20" s="44"/>
      <c r="AZ20" s="49"/>
      <c r="BA20" s="50"/>
    </row>
    <row r="21" spans="1:53" s="4" customFormat="1" ht="28.5" customHeight="1">
      <c r="A21" s="109"/>
      <c r="B21" s="125"/>
      <c r="C21" s="106"/>
      <c r="D21" s="109"/>
      <c r="E21" s="21" t="s">
        <v>70</v>
      </c>
      <c r="F21" s="22">
        <f t="shared" si="1"/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43"/>
      <c r="AS21" s="44"/>
      <c r="AT21" s="44"/>
      <c r="AU21" s="44"/>
      <c r="AV21" s="44"/>
      <c r="AW21" s="44"/>
      <c r="AX21" s="44"/>
      <c r="AY21" s="44"/>
      <c r="AZ21" s="49"/>
      <c r="BA21" s="50"/>
    </row>
    <row r="22" spans="1:53" s="4" customFormat="1" ht="21.75" customHeight="1">
      <c r="A22" s="109"/>
      <c r="B22" s="125"/>
      <c r="C22" s="106"/>
      <c r="D22" s="109"/>
      <c r="E22" s="21" t="s">
        <v>71</v>
      </c>
      <c r="F22" s="22">
        <f t="shared" si="1"/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43"/>
      <c r="AS22" s="44"/>
      <c r="AT22" s="44"/>
      <c r="AU22" s="44"/>
      <c r="AV22" s="44"/>
      <c r="AW22" s="44"/>
      <c r="AX22" s="44"/>
      <c r="AY22" s="44"/>
      <c r="AZ22" s="49"/>
      <c r="BA22" s="50"/>
    </row>
    <row r="23" spans="1:53" s="4" customFormat="1" ht="15" customHeight="1">
      <c r="A23" s="109"/>
      <c r="B23" s="125"/>
      <c r="C23" s="106"/>
      <c r="D23" s="109"/>
      <c r="E23" s="25" t="s">
        <v>72</v>
      </c>
      <c r="F23" s="22">
        <f t="shared" si="1"/>
        <v>1943.34</v>
      </c>
      <c r="G23" s="26">
        <v>1281.3399999999999</v>
      </c>
      <c r="H23" s="24">
        <v>200</v>
      </c>
      <c r="I23" s="36">
        <f>484.75-28.9-209.85</f>
        <v>246</v>
      </c>
      <c r="J23" s="36">
        <v>216</v>
      </c>
      <c r="K23" s="24">
        <v>0</v>
      </c>
      <c r="L23" s="24">
        <v>0</v>
      </c>
      <c r="M23" s="24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43"/>
      <c r="AS23" s="44"/>
      <c r="AT23" s="44"/>
      <c r="AU23" s="44"/>
      <c r="AV23" s="44"/>
      <c r="AW23" s="44"/>
      <c r="AX23" s="44"/>
      <c r="AY23" s="44"/>
      <c r="AZ23" s="49"/>
      <c r="BA23" s="50"/>
    </row>
    <row r="24" spans="1:53" s="4" customFormat="1" ht="17.25" customHeight="1">
      <c r="A24" s="110"/>
      <c r="B24" s="126"/>
      <c r="C24" s="107"/>
      <c r="D24" s="110"/>
      <c r="E24" s="20" t="s">
        <v>73</v>
      </c>
      <c r="F24" s="22">
        <f t="shared" ref="F24:F44" si="8">G24+H24+I24+J24+K24+L24</f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4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43"/>
      <c r="AS24" s="44"/>
      <c r="AT24" s="44"/>
      <c r="AU24" s="44"/>
      <c r="AV24" s="44"/>
      <c r="AW24" s="44"/>
      <c r="AX24" s="44"/>
      <c r="AY24" s="44"/>
      <c r="AZ24" s="49"/>
      <c r="BA24" s="50"/>
    </row>
    <row r="25" spans="1:53" s="4" customFormat="1" ht="21.75" customHeight="1">
      <c r="A25" s="108" t="s">
        <v>78</v>
      </c>
      <c r="B25" s="124" t="s">
        <v>79</v>
      </c>
      <c r="C25" s="105" t="s">
        <v>80</v>
      </c>
      <c r="D25" s="108" t="s">
        <v>81</v>
      </c>
      <c r="E25" s="21" t="s">
        <v>68</v>
      </c>
      <c r="F25" s="22">
        <f>G25+H25+I25+J25+K25+L25+M25</f>
        <v>4700.8919999999998</v>
      </c>
      <c r="G25" s="23">
        <f t="shared" ref="G25:I25" si="9">G26+G28+G29+G30</f>
        <v>4313.3779999999997</v>
      </c>
      <c r="H25" s="23">
        <f t="shared" si="9"/>
        <v>171</v>
      </c>
      <c r="I25" s="23">
        <f t="shared" si="9"/>
        <v>86.733999999999995</v>
      </c>
      <c r="J25" s="23">
        <f t="shared" ref="J25:M25" si="10">J26+J28+J29+J30</f>
        <v>129.78</v>
      </c>
      <c r="K25" s="35">
        <f t="shared" si="10"/>
        <v>0</v>
      </c>
      <c r="L25" s="35">
        <f t="shared" si="10"/>
        <v>0</v>
      </c>
      <c r="M25" s="35">
        <f t="shared" si="10"/>
        <v>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43"/>
      <c r="AS25" s="44"/>
      <c r="AT25" s="44"/>
      <c r="AU25" s="44"/>
      <c r="AV25" s="44"/>
      <c r="AW25" s="44"/>
      <c r="AX25" s="44"/>
      <c r="AY25" s="44"/>
      <c r="AZ25" s="49"/>
      <c r="BA25" s="50"/>
    </row>
    <row r="26" spans="1:53" s="4" customFormat="1" ht="21.75" customHeight="1">
      <c r="A26" s="109"/>
      <c r="B26" s="125"/>
      <c r="C26" s="106"/>
      <c r="D26" s="109"/>
      <c r="E26" s="21" t="s">
        <v>69</v>
      </c>
      <c r="F26" s="22">
        <f t="shared" si="8"/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43"/>
      <c r="AS26" s="44"/>
      <c r="AT26" s="44"/>
      <c r="AU26" s="44"/>
      <c r="AV26" s="44"/>
      <c r="AW26" s="44"/>
      <c r="AX26" s="44"/>
      <c r="AY26" s="44"/>
      <c r="AZ26" s="49"/>
      <c r="BA26" s="50"/>
    </row>
    <row r="27" spans="1:53" s="4" customFormat="1" ht="27.75" customHeight="1">
      <c r="A27" s="109"/>
      <c r="B27" s="125"/>
      <c r="C27" s="106"/>
      <c r="D27" s="109"/>
      <c r="E27" s="21" t="s">
        <v>70</v>
      </c>
      <c r="F27" s="22">
        <f t="shared" si="8"/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43"/>
      <c r="AS27" s="44"/>
      <c r="AT27" s="44"/>
      <c r="AU27" s="44"/>
      <c r="AV27" s="44"/>
      <c r="AW27" s="44"/>
      <c r="AX27" s="44"/>
      <c r="AY27" s="44"/>
      <c r="AZ27" s="49"/>
      <c r="BA27" s="50"/>
    </row>
    <row r="28" spans="1:53" s="4" customFormat="1" ht="21.75" customHeight="1">
      <c r="A28" s="109"/>
      <c r="B28" s="125"/>
      <c r="C28" s="106"/>
      <c r="D28" s="109"/>
      <c r="E28" s="21" t="s">
        <v>71</v>
      </c>
      <c r="F28" s="22">
        <f t="shared" si="8"/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43"/>
      <c r="AS28" s="44"/>
      <c r="AT28" s="44"/>
      <c r="AU28" s="44"/>
      <c r="AV28" s="44"/>
      <c r="AW28" s="44"/>
      <c r="AX28" s="44"/>
      <c r="AY28" s="44"/>
      <c r="AZ28" s="49"/>
      <c r="BA28" s="50"/>
    </row>
    <row r="29" spans="1:53" s="4" customFormat="1" ht="21.75" customHeight="1">
      <c r="A29" s="109"/>
      <c r="B29" s="125"/>
      <c r="C29" s="106"/>
      <c r="D29" s="109"/>
      <c r="E29" s="25" t="s">
        <v>72</v>
      </c>
      <c r="F29" s="22">
        <f>G29+H29+I29+J29+K29+L29+M29</f>
        <v>4700.8919999999998</v>
      </c>
      <c r="G29" s="26">
        <v>4313.3779999999997</v>
      </c>
      <c r="H29" s="24">
        <v>171</v>
      </c>
      <c r="I29" s="24">
        <v>86.733999999999995</v>
      </c>
      <c r="J29" s="24">
        <v>129.78</v>
      </c>
      <c r="K29" s="24">
        <v>0</v>
      </c>
      <c r="L29" s="24">
        <v>0</v>
      </c>
      <c r="M29" s="24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43"/>
      <c r="AS29" s="44"/>
      <c r="AT29" s="44"/>
      <c r="AU29" s="44"/>
      <c r="AV29" s="44"/>
      <c r="AW29" s="44"/>
      <c r="AX29" s="44"/>
      <c r="AY29" s="44"/>
      <c r="AZ29" s="49"/>
      <c r="BA29" s="50"/>
    </row>
    <row r="30" spans="1:53" s="4" customFormat="1" ht="21.75" customHeight="1">
      <c r="A30" s="110"/>
      <c r="B30" s="126"/>
      <c r="C30" s="107"/>
      <c r="D30" s="110"/>
      <c r="E30" s="20" t="s">
        <v>73</v>
      </c>
      <c r="F30" s="22">
        <f t="shared" si="8"/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43"/>
      <c r="AS30" s="44"/>
      <c r="AT30" s="44"/>
      <c r="AU30" s="44"/>
      <c r="AV30" s="44"/>
      <c r="AW30" s="44"/>
      <c r="AX30" s="44"/>
      <c r="AY30" s="44"/>
      <c r="AZ30" s="49"/>
      <c r="BA30" s="50"/>
    </row>
    <row r="31" spans="1:53" s="3" customFormat="1" ht="21.75" customHeight="1">
      <c r="A31" s="108" t="s">
        <v>82</v>
      </c>
      <c r="B31" s="124" t="s">
        <v>83</v>
      </c>
      <c r="C31" s="105" t="s">
        <v>84</v>
      </c>
      <c r="D31" s="108" t="s">
        <v>85</v>
      </c>
      <c r="E31" s="21" t="s">
        <v>68</v>
      </c>
      <c r="F31" s="22">
        <f>G31+H31+I31+J31+K31+L31+M31</f>
        <v>36594.175000000003</v>
      </c>
      <c r="G31" s="23">
        <f t="shared" ref="G31:I31" si="11">G32+G34+G35+G36</f>
        <v>3701.5279999999998</v>
      </c>
      <c r="H31" s="23">
        <f t="shared" si="11"/>
        <v>4437.5780000000004</v>
      </c>
      <c r="I31" s="23">
        <f t="shared" si="11"/>
        <v>4879.5810000000001</v>
      </c>
      <c r="J31" s="23">
        <f t="shared" ref="J31:M31" si="12">J32+J34+J35+J36</f>
        <v>5473.0339999999997</v>
      </c>
      <c r="K31" s="33">
        <f t="shared" si="12"/>
        <v>5905.7370000000001</v>
      </c>
      <c r="L31" s="33">
        <f t="shared" si="12"/>
        <v>5935.3490000000002</v>
      </c>
      <c r="M31" s="33">
        <f t="shared" si="12"/>
        <v>6261.3680000000004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41"/>
      <c r="AS31" s="42"/>
      <c r="AT31" s="42"/>
      <c r="AU31" s="42"/>
      <c r="AV31" s="42"/>
      <c r="AW31" s="42"/>
      <c r="AX31" s="42"/>
      <c r="AY31" s="42"/>
      <c r="AZ31" s="47"/>
      <c r="BA31" s="48"/>
    </row>
    <row r="32" spans="1:53" s="3" customFormat="1" ht="21.75" customHeight="1">
      <c r="A32" s="109"/>
      <c r="B32" s="125"/>
      <c r="C32" s="106"/>
      <c r="D32" s="109"/>
      <c r="E32" s="21" t="s">
        <v>69</v>
      </c>
      <c r="F32" s="22">
        <f t="shared" si="8"/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41"/>
      <c r="AS32" s="42"/>
      <c r="AT32" s="42"/>
      <c r="AU32" s="42"/>
      <c r="AV32" s="42"/>
      <c r="AW32" s="42"/>
      <c r="AX32" s="42"/>
      <c r="AY32" s="42"/>
      <c r="AZ32" s="47"/>
      <c r="BA32" s="48"/>
    </row>
    <row r="33" spans="1:53" s="3" customFormat="1" ht="28.5" customHeight="1">
      <c r="A33" s="109"/>
      <c r="B33" s="125"/>
      <c r="C33" s="106"/>
      <c r="D33" s="109"/>
      <c r="E33" s="21" t="s">
        <v>70</v>
      </c>
      <c r="F33" s="22">
        <f t="shared" si="8"/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41"/>
      <c r="AS33" s="42"/>
      <c r="AT33" s="42"/>
      <c r="AU33" s="42"/>
      <c r="AV33" s="42"/>
      <c r="AW33" s="42"/>
      <c r="AX33" s="42"/>
      <c r="AY33" s="42"/>
      <c r="AZ33" s="47"/>
      <c r="BA33" s="48"/>
    </row>
    <row r="34" spans="1:53" s="3" customFormat="1" ht="21.75" customHeight="1">
      <c r="A34" s="109"/>
      <c r="B34" s="125"/>
      <c r="C34" s="106"/>
      <c r="D34" s="109"/>
      <c r="E34" s="21" t="s">
        <v>71</v>
      </c>
      <c r="F34" s="22">
        <f t="shared" si="8"/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41"/>
      <c r="AS34" s="42"/>
      <c r="AT34" s="42"/>
      <c r="AU34" s="42"/>
      <c r="AV34" s="42"/>
      <c r="AW34" s="42"/>
      <c r="AX34" s="42"/>
      <c r="AY34" s="42"/>
      <c r="AZ34" s="47"/>
      <c r="BA34" s="48"/>
    </row>
    <row r="35" spans="1:53" s="3" customFormat="1" ht="21.75" customHeight="1">
      <c r="A35" s="109"/>
      <c r="B35" s="125"/>
      <c r="C35" s="106"/>
      <c r="D35" s="109"/>
      <c r="E35" s="25" t="s">
        <v>72</v>
      </c>
      <c r="F35" s="22">
        <f>G35+H35+I35+J35+K35+L35+M35</f>
        <v>36594.175000000003</v>
      </c>
      <c r="G35" s="26">
        <f>3701.528</f>
        <v>3701.5279999999998</v>
      </c>
      <c r="H35" s="24">
        <v>4437.5780000000004</v>
      </c>
      <c r="I35" s="24">
        <v>4879.5810000000001</v>
      </c>
      <c r="J35" s="24">
        <f>5473.034</f>
        <v>5473.0339999999997</v>
      </c>
      <c r="K35" s="24">
        <v>5905.7370000000001</v>
      </c>
      <c r="L35" s="26">
        <v>5935.3490000000002</v>
      </c>
      <c r="M35" s="24">
        <v>6261.3680000000004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41"/>
      <c r="AS35" s="42"/>
      <c r="AT35" s="42"/>
      <c r="AU35" s="42"/>
      <c r="AV35" s="42"/>
      <c r="AW35" s="42"/>
      <c r="AX35" s="42"/>
      <c r="AY35" s="42"/>
      <c r="AZ35" s="47"/>
      <c r="BA35" s="48"/>
    </row>
    <row r="36" spans="1:53" s="4" customFormat="1" ht="21.75" customHeight="1">
      <c r="A36" s="110"/>
      <c r="B36" s="126"/>
      <c r="C36" s="107"/>
      <c r="D36" s="110"/>
      <c r="E36" s="20" t="s">
        <v>73</v>
      </c>
      <c r="F36" s="22">
        <f t="shared" si="8"/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43"/>
      <c r="AS36" s="44"/>
      <c r="AT36" s="44"/>
      <c r="AU36" s="44"/>
      <c r="AV36" s="44"/>
      <c r="AW36" s="44"/>
      <c r="AX36" s="44"/>
      <c r="AY36" s="44"/>
      <c r="AZ36" s="49"/>
      <c r="BA36" s="50"/>
    </row>
    <row r="37" spans="1:53" s="3" customFormat="1" ht="21.75" customHeight="1">
      <c r="A37" s="108" t="s">
        <v>86</v>
      </c>
      <c r="B37" s="124" t="s">
        <v>87</v>
      </c>
      <c r="C37" s="105" t="s">
        <v>88</v>
      </c>
      <c r="D37" s="108" t="s">
        <v>89</v>
      </c>
      <c r="E37" s="21" t="s">
        <v>68</v>
      </c>
      <c r="F37" s="22">
        <f>G37+H37+I37+J37+K37+L37+M37</f>
        <v>519343.07900000003</v>
      </c>
      <c r="G37" s="23">
        <f t="shared" ref="G37:I37" si="13">G38+G40+G41+G42</f>
        <v>55698.099000000002</v>
      </c>
      <c r="H37" s="23">
        <f t="shared" si="13"/>
        <v>61304.565999999999</v>
      </c>
      <c r="I37" s="23">
        <f t="shared" si="13"/>
        <v>66711.611000000004</v>
      </c>
      <c r="J37" s="23">
        <f t="shared" ref="J37:M37" si="14">J38+J40+J41+J42</f>
        <v>75107.989000000001</v>
      </c>
      <c r="K37" s="33">
        <f t="shared" si="14"/>
        <v>83596.794999999998</v>
      </c>
      <c r="L37" s="33">
        <f t="shared" si="14"/>
        <v>86216.222999999998</v>
      </c>
      <c r="M37" s="33">
        <f t="shared" si="14"/>
        <v>90707.796000000002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41"/>
      <c r="AS37" s="42"/>
      <c r="AT37" s="42"/>
      <c r="AU37" s="42"/>
      <c r="AV37" s="42"/>
      <c r="AW37" s="42"/>
      <c r="AX37" s="42"/>
      <c r="AY37" s="42"/>
      <c r="AZ37" s="47"/>
      <c r="BA37" s="48"/>
    </row>
    <row r="38" spans="1:53" s="3" customFormat="1" ht="21.75" customHeight="1">
      <c r="A38" s="109"/>
      <c r="B38" s="125"/>
      <c r="C38" s="106"/>
      <c r="D38" s="109"/>
      <c r="E38" s="21" t="s">
        <v>69</v>
      </c>
      <c r="F38" s="22">
        <f t="shared" si="8"/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41"/>
      <c r="AS38" s="42"/>
      <c r="AT38" s="42"/>
      <c r="AU38" s="42"/>
      <c r="AV38" s="42"/>
      <c r="AW38" s="42"/>
      <c r="AX38" s="42"/>
      <c r="AY38" s="42"/>
      <c r="AZ38" s="47"/>
      <c r="BA38" s="48"/>
    </row>
    <row r="39" spans="1:53" s="3" customFormat="1" ht="27" customHeight="1">
      <c r="A39" s="109"/>
      <c r="B39" s="125"/>
      <c r="C39" s="106"/>
      <c r="D39" s="109"/>
      <c r="E39" s="21" t="s">
        <v>70</v>
      </c>
      <c r="F39" s="22">
        <f t="shared" si="8"/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41"/>
      <c r="AS39" s="42"/>
      <c r="AT39" s="42"/>
      <c r="AU39" s="42"/>
      <c r="AV39" s="42"/>
      <c r="AW39" s="42"/>
      <c r="AX39" s="42"/>
      <c r="AY39" s="42"/>
      <c r="AZ39" s="47"/>
      <c r="BA39" s="48"/>
    </row>
    <row r="40" spans="1:53" s="3" customFormat="1" ht="21.75" customHeight="1">
      <c r="A40" s="109"/>
      <c r="B40" s="125"/>
      <c r="C40" s="106"/>
      <c r="D40" s="109"/>
      <c r="E40" s="21" t="s">
        <v>71</v>
      </c>
      <c r="F40" s="22">
        <f t="shared" si="8"/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41"/>
      <c r="AS40" s="42"/>
      <c r="AT40" s="42"/>
      <c r="AU40" s="42"/>
      <c r="AV40" s="42"/>
      <c r="AW40" s="42"/>
      <c r="AX40" s="42"/>
      <c r="AY40" s="42"/>
      <c r="AZ40" s="47"/>
      <c r="BA40" s="48"/>
    </row>
    <row r="41" spans="1:53" s="3" customFormat="1" ht="21.75" customHeight="1">
      <c r="A41" s="109"/>
      <c r="B41" s="125"/>
      <c r="C41" s="106"/>
      <c r="D41" s="109"/>
      <c r="E41" s="21" t="s">
        <v>72</v>
      </c>
      <c r="F41" s="22">
        <f>G41+H41+I41+J41+K41+L41+M41</f>
        <v>519343.07900000003</v>
      </c>
      <c r="G41" s="26">
        <f>56846.026-998.815-149.112</f>
        <v>55698.099000000002</v>
      </c>
      <c r="H41" s="26">
        <f>61304.566</f>
        <v>61304.565999999999</v>
      </c>
      <c r="I41" s="26">
        <v>66711.611000000004</v>
      </c>
      <c r="J41" s="26">
        <f>75107.989</f>
        <v>75107.989000000001</v>
      </c>
      <c r="K41" s="26">
        <v>83596.794999999998</v>
      </c>
      <c r="L41" s="26">
        <v>86216.222999999998</v>
      </c>
      <c r="M41" s="24">
        <v>90707.796000000002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41"/>
      <c r="AS41" s="42"/>
      <c r="AT41" s="42"/>
      <c r="AU41" s="42"/>
      <c r="AV41" s="42"/>
      <c r="AW41" s="42"/>
      <c r="AX41" s="42"/>
      <c r="AY41" s="42"/>
      <c r="AZ41" s="47"/>
      <c r="BA41" s="48"/>
    </row>
    <row r="42" spans="1:53" s="5" customFormat="1" ht="21.75" customHeight="1">
      <c r="A42" s="110"/>
      <c r="B42" s="126"/>
      <c r="C42" s="107"/>
      <c r="D42" s="110"/>
      <c r="E42" s="21" t="s">
        <v>73</v>
      </c>
      <c r="F42" s="22">
        <f t="shared" si="8"/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4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5"/>
      <c r="AS42" s="46"/>
      <c r="AT42" s="46"/>
      <c r="AU42" s="46"/>
      <c r="AV42" s="46"/>
      <c r="AW42" s="46"/>
      <c r="AX42" s="46"/>
      <c r="AY42" s="46"/>
      <c r="AZ42" s="51"/>
      <c r="BA42" s="52"/>
    </row>
    <row r="43" spans="1:53" s="3" customFormat="1" ht="21.75" customHeight="1">
      <c r="A43" s="108" t="s">
        <v>90</v>
      </c>
      <c r="B43" s="124" t="s">
        <v>91</v>
      </c>
      <c r="C43" s="105" t="s">
        <v>92</v>
      </c>
      <c r="D43" s="108" t="s">
        <v>93</v>
      </c>
      <c r="E43" s="21" t="s">
        <v>68</v>
      </c>
      <c r="F43" s="22">
        <f>G43+H43+I43+J43+K43+L43+M43</f>
        <v>127138.91228999999</v>
      </c>
      <c r="G43" s="23">
        <f t="shared" ref="G43:I43" si="15">G44+G46+G47+G48</f>
        <v>14031.442999999999</v>
      </c>
      <c r="H43" s="23">
        <f t="shared" si="15"/>
        <v>14843.402</v>
      </c>
      <c r="I43" s="23">
        <f t="shared" si="15"/>
        <v>16185.050999999999</v>
      </c>
      <c r="J43" s="23">
        <f t="shared" ref="J43:M43" si="16">J44+J46+J47+J48</f>
        <v>18287.760999999999</v>
      </c>
      <c r="K43" s="33">
        <f t="shared" si="16"/>
        <v>21530.107</v>
      </c>
      <c r="L43" s="33">
        <f t="shared" si="16"/>
        <v>20594.036</v>
      </c>
      <c r="M43" s="33">
        <f t="shared" si="16"/>
        <v>21667.112290000001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41"/>
      <c r="AS43" s="42"/>
      <c r="AT43" s="42"/>
      <c r="AU43" s="42"/>
      <c r="AV43" s="42"/>
      <c r="AW43" s="42"/>
      <c r="AX43" s="42"/>
      <c r="AY43" s="42"/>
      <c r="AZ43" s="47"/>
      <c r="BA43" s="48"/>
    </row>
    <row r="44" spans="1:53" s="3" customFormat="1" ht="21.75" customHeight="1">
      <c r="A44" s="109"/>
      <c r="B44" s="125"/>
      <c r="C44" s="106"/>
      <c r="D44" s="109"/>
      <c r="E44" s="21" t="s">
        <v>69</v>
      </c>
      <c r="F44" s="22">
        <f t="shared" si="8"/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41"/>
      <c r="AS44" s="42"/>
      <c r="AT44" s="42"/>
      <c r="AU44" s="42"/>
      <c r="AV44" s="42"/>
      <c r="AW44" s="42"/>
      <c r="AX44" s="42"/>
      <c r="AY44" s="42"/>
      <c r="AZ44" s="47"/>
      <c r="BA44" s="48"/>
    </row>
    <row r="45" spans="1:53" s="3" customFormat="1" ht="28.5" customHeight="1">
      <c r="A45" s="109"/>
      <c r="B45" s="125"/>
      <c r="C45" s="106"/>
      <c r="D45" s="109"/>
      <c r="E45" s="21" t="s">
        <v>70</v>
      </c>
      <c r="F45" s="22">
        <f t="shared" ref="F45:F82" si="17">G45+H45+I45+J45+K45+L45</f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41"/>
      <c r="AS45" s="42"/>
      <c r="AT45" s="42"/>
      <c r="AU45" s="42"/>
      <c r="AV45" s="42"/>
      <c r="AW45" s="42"/>
      <c r="AX45" s="42"/>
      <c r="AY45" s="42"/>
      <c r="AZ45" s="47"/>
      <c r="BA45" s="48"/>
    </row>
    <row r="46" spans="1:53" s="3" customFormat="1" ht="21.75" customHeight="1">
      <c r="A46" s="109"/>
      <c r="B46" s="125"/>
      <c r="C46" s="106"/>
      <c r="D46" s="109"/>
      <c r="E46" s="21" t="s">
        <v>71</v>
      </c>
      <c r="F46" s="22">
        <f t="shared" si="17"/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41"/>
      <c r="AS46" s="42"/>
      <c r="AT46" s="42"/>
      <c r="AU46" s="42"/>
      <c r="AV46" s="42"/>
      <c r="AW46" s="42"/>
      <c r="AX46" s="42"/>
      <c r="AY46" s="42"/>
      <c r="AZ46" s="47"/>
      <c r="BA46" s="48"/>
    </row>
    <row r="47" spans="1:53" s="3" customFormat="1" ht="21.75" customHeight="1">
      <c r="A47" s="109"/>
      <c r="B47" s="125"/>
      <c r="C47" s="106"/>
      <c r="D47" s="109"/>
      <c r="E47" s="21" t="s">
        <v>72</v>
      </c>
      <c r="F47" s="22">
        <f>G47+H47+I47+J47+K47+L47+M47</f>
        <v>127138.91228999999</v>
      </c>
      <c r="G47" s="26">
        <v>14031.442999999999</v>
      </c>
      <c r="H47" s="24">
        <v>14843.402</v>
      </c>
      <c r="I47" s="24">
        <v>16185.050999999999</v>
      </c>
      <c r="J47" s="26">
        <f>18287.761</f>
        <v>18287.760999999999</v>
      </c>
      <c r="K47" s="26">
        <f>20831.158+698.949</f>
        <v>21530.107</v>
      </c>
      <c r="L47" s="26">
        <v>20594.036</v>
      </c>
      <c r="M47" s="38">
        <f>21671.393-4.28071</f>
        <v>21667.112290000001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41"/>
      <c r="AS47" s="42"/>
      <c r="AT47" s="42"/>
      <c r="AU47" s="42"/>
      <c r="AV47" s="42"/>
      <c r="AW47" s="42"/>
      <c r="AX47" s="42"/>
      <c r="AY47" s="42"/>
      <c r="AZ47" s="47"/>
      <c r="BA47" s="48"/>
    </row>
    <row r="48" spans="1:53" s="5" customFormat="1" ht="21.75" customHeight="1">
      <c r="A48" s="110"/>
      <c r="B48" s="126"/>
      <c r="C48" s="107"/>
      <c r="D48" s="110"/>
      <c r="E48" s="21" t="s">
        <v>73</v>
      </c>
      <c r="F48" s="22">
        <f t="shared" si="17"/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4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5"/>
      <c r="AS48" s="46"/>
      <c r="AT48" s="46"/>
      <c r="AU48" s="46"/>
      <c r="AV48" s="46"/>
      <c r="AW48" s="46"/>
      <c r="AX48" s="46"/>
      <c r="AY48" s="46"/>
      <c r="AZ48" s="51"/>
      <c r="BA48" s="52"/>
    </row>
    <row r="49" spans="1:53" s="3" customFormat="1" ht="21.75" customHeight="1">
      <c r="A49" s="108" t="s">
        <v>94</v>
      </c>
      <c r="B49" s="124" t="s">
        <v>95</v>
      </c>
      <c r="C49" s="105" t="s">
        <v>96</v>
      </c>
      <c r="D49" s="108" t="s">
        <v>97</v>
      </c>
      <c r="E49" s="21" t="s">
        <v>68</v>
      </c>
      <c r="F49" s="22">
        <f>G49+H49+I49+J49+K49+L49+M49</f>
        <v>83001.165000000008</v>
      </c>
      <c r="G49" s="23">
        <f t="shared" ref="G49:I49" si="18">G50+G52+G53+G54</f>
        <v>8961.1419999999998</v>
      </c>
      <c r="H49" s="23">
        <f t="shared" si="18"/>
        <v>9687.23</v>
      </c>
      <c r="I49" s="23">
        <f t="shared" si="18"/>
        <v>10752.234</v>
      </c>
      <c r="J49" s="23">
        <f t="shared" ref="J49:K49" si="19">J50+J52+J53+J54</f>
        <v>12435.933000000001</v>
      </c>
      <c r="K49" s="33">
        <f t="shared" si="19"/>
        <v>13815.4</v>
      </c>
      <c r="L49" s="33">
        <f>L50+L51+L52+L53</f>
        <v>13336.94</v>
      </c>
      <c r="M49" s="33">
        <f>M50+M51+M52+M53</f>
        <v>14012.286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41"/>
      <c r="AS49" s="42"/>
      <c r="AT49" s="42"/>
      <c r="AU49" s="42"/>
      <c r="AV49" s="42"/>
      <c r="AW49" s="42"/>
      <c r="AX49" s="42"/>
      <c r="AY49" s="42"/>
      <c r="AZ49" s="47"/>
      <c r="BA49" s="48"/>
    </row>
    <row r="50" spans="1:53" s="3" customFormat="1" ht="21.75" customHeight="1">
      <c r="A50" s="109"/>
      <c r="B50" s="125"/>
      <c r="C50" s="106"/>
      <c r="D50" s="109"/>
      <c r="E50" s="21" t="s">
        <v>69</v>
      </c>
      <c r="F50" s="22">
        <f t="shared" si="17"/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41"/>
      <c r="AS50" s="42"/>
      <c r="AT50" s="42"/>
      <c r="AU50" s="42"/>
      <c r="AV50" s="42"/>
      <c r="AW50" s="42"/>
      <c r="AX50" s="42"/>
      <c r="AY50" s="42"/>
      <c r="AZ50" s="47"/>
      <c r="BA50" s="48"/>
    </row>
    <row r="51" spans="1:53" s="3" customFormat="1" ht="28.5" customHeight="1">
      <c r="A51" s="109"/>
      <c r="B51" s="125"/>
      <c r="C51" s="106"/>
      <c r="D51" s="109"/>
      <c r="E51" s="21" t="s">
        <v>70</v>
      </c>
      <c r="F51" s="22">
        <f t="shared" si="17"/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41"/>
      <c r="AS51" s="42"/>
      <c r="AT51" s="42"/>
      <c r="AU51" s="42"/>
      <c r="AV51" s="42"/>
      <c r="AW51" s="42"/>
      <c r="AX51" s="42"/>
      <c r="AY51" s="42"/>
      <c r="AZ51" s="47"/>
      <c r="BA51" s="48"/>
    </row>
    <row r="52" spans="1:53" s="3" customFormat="1" ht="21.75" customHeight="1">
      <c r="A52" s="109"/>
      <c r="B52" s="125"/>
      <c r="C52" s="106"/>
      <c r="D52" s="109"/>
      <c r="E52" s="21" t="s">
        <v>71</v>
      </c>
      <c r="F52" s="22">
        <f t="shared" si="17"/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41"/>
      <c r="AS52" s="42"/>
      <c r="AT52" s="42"/>
      <c r="AU52" s="42"/>
      <c r="AV52" s="42"/>
      <c r="AW52" s="42"/>
      <c r="AX52" s="42"/>
      <c r="AY52" s="42"/>
      <c r="AZ52" s="47"/>
      <c r="BA52" s="48"/>
    </row>
    <row r="53" spans="1:53" s="3" customFormat="1" ht="21.75" customHeight="1">
      <c r="A53" s="109"/>
      <c r="B53" s="125"/>
      <c r="C53" s="106"/>
      <c r="D53" s="109"/>
      <c r="E53" s="21" t="s">
        <v>72</v>
      </c>
      <c r="F53" s="22">
        <f>G53+H53+I53+J53+K53+L53+M53</f>
        <v>83001.165000000008</v>
      </c>
      <c r="G53" s="26">
        <v>8961.1419999999998</v>
      </c>
      <c r="H53" s="26">
        <v>9687.23</v>
      </c>
      <c r="I53" s="26">
        <f>10752.234</f>
        <v>10752.234</v>
      </c>
      <c r="J53" s="26">
        <v>12435.933000000001</v>
      </c>
      <c r="K53" s="26">
        <f>13452.4+363</f>
        <v>13815.4</v>
      </c>
      <c r="L53" s="39">
        <v>13336.94</v>
      </c>
      <c r="M53" s="24">
        <v>14012.286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41"/>
      <c r="AS53" s="42"/>
      <c r="AT53" s="42"/>
      <c r="AU53" s="42"/>
      <c r="AV53" s="42"/>
      <c r="AW53" s="42"/>
      <c r="AX53" s="42"/>
      <c r="AY53" s="42"/>
      <c r="AZ53" s="47"/>
      <c r="BA53" s="48"/>
    </row>
    <row r="54" spans="1:53" s="5" customFormat="1" ht="21.75" customHeight="1">
      <c r="A54" s="110"/>
      <c r="B54" s="126"/>
      <c r="C54" s="107"/>
      <c r="D54" s="110"/>
      <c r="E54" s="21" t="s">
        <v>73</v>
      </c>
      <c r="F54" s="22">
        <f t="shared" si="17"/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4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45"/>
      <c r="AS54" s="46"/>
      <c r="AT54" s="46"/>
      <c r="AU54" s="46"/>
      <c r="AV54" s="46"/>
      <c r="AW54" s="46"/>
      <c r="AX54" s="46"/>
      <c r="AY54" s="46"/>
      <c r="AZ54" s="51"/>
      <c r="BA54" s="52"/>
    </row>
    <row r="55" spans="1:53" s="3" customFormat="1" ht="21.75" customHeight="1">
      <c r="A55" s="108" t="s">
        <v>98</v>
      </c>
      <c r="B55" s="124" t="s">
        <v>99</v>
      </c>
      <c r="C55" s="105" t="s">
        <v>96</v>
      </c>
      <c r="D55" s="108" t="s">
        <v>93</v>
      </c>
      <c r="E55" s="21" t="s">
        <v>68</v>
      </c>
      <c r="F55" s="22">
        <f>G55+H55+I55+J55+K55+L55+M55</f>
        <v>766.625</v>
      </c>
      <c r="G55" s="23">
        <f t="shared" ref="G55:I55" si="20">G56+G58+G59+G60</f>
        <v>116.25</v>
      </c>
      <c r="H55" s="23">
        <f t="shared" si="20"/>
        <v>111.97499999999999</v>
      </c>
      <c r="I55" s="23">
        <f t="shared" si="20"/>
        <v>106.4</v>
      </c>
      <c r="J55" s="23">
        <f t="shared" ref="J55:M55" si="21">J56+J58+J59+J60</f>
        <v>108</v>
      </c>
      <c r="K55" s="33">
        <f t="shared" si="21"/>
        <v>108</v>
      </c>
      <c r="L55" s="33">
        <f t="shared" si="21"/>
        <v>108</v>
      </c>
      <c r="M55" s="33">
        <f t="shared" si="21"/>
        <v>108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41"/>
      <c r="AS55" s="42"/>
      <c r="AT55" s="42"/>
      <c r="AU55" s="42"/>
      <c r="AV55" s="42"/>
      <c r="AW55" s="42"/>
      <c r="AX55" s="42"/>
      <c r="AY55" s="42"/>
      <c r="AZ55" s="47"/>
      <c r="BA55" s="48"/>
    </row>
    <row r="56" spans="1:53" s="3" customFormat="1" ht="21.75" customHeight="1">
      <c r="A56" s="109"/>
      <c r="B56" s="125"/>
      <c r="C56" s="106"/>
      <c r="D56" s="109"/>
      <c r="E56" s="21" t="s">
        <v>69</v>
      </c>
      <c r="F56" s="22">
        <f t="shared" si="17"/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41"/>
      <c r="AS56" s="42"/>
      <c r="AT56" s="42"/>
      <c r="AU56" s="42"/>
      <c r="AV56" s="42"/>
      <c r="AW56" s="42"/>
      <c r="AX56" s="42"/>
      <c r="AY56" s="42"/>
      <c r="AZ56" s="47"/>
      <c r="BA56" s="48"/>
    </row>
    <row r="57" spans="1:53" s="3" customFormat="1" ht="28.5" customHeight="1">
      <c r="A57" s="109"/>
      <c r="B57" s="125"/>
      <c r="C57" s="106"/>
      <c r="D57" s="109"/>
      <c r="E57" s="21" t="s">
        <v>70</v>
      </c>
      <c r="F57" s="22">
        <f t="shared" si="17"/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41"/>
      <c r="AS57" s="42"/>
      <c r="AT57" s="42"/>
      <c r="AU57" s="42"/>
      <c r="AV57" s="42"/>
      <c r="AW57" s="42"/>
      <c r="AX57" s="42"/>
      <c r="AY57" s="42"/>
      <c r="AZ57" s="47"/>
      <c r="BA57" s="48"/>
    </row>
    <row r="58" spans="1:53" s="3" customFormat="1" ht="21.75" customHeight="1">
      <c r="A58" s="109"/>
      <c r="B58" s="125"/>
      <c r="C58" s="106"/>
      <c r="D58" s="109"/>
      <c r="E58" s="21" t="s">
        <v>71</v>
      </c>
      <c r="F58" s="22">
        <f>G58+H58+I58+J58+K58+L58+M58</f>
        <v>766.625</v>
      </c>
      <c r="G58" s="26">
        <v>116.25</v>
      </c>
      <c r="H58" s="29">
        <f>111.975</f>
        <v>111.97499999999999</v>
      </c>
      <c r="I58" s="24">
        <v>106.4</v>
      </c>
      <c r="J58" s="24">
        <v>108</v>
      </c>
      <c r="K58" s="24">
        <v>108</v>
      </c>
      <c r="L58" s="24">
        <v>108</v>
      </c>
      <c r="M58" s="24">
        <v>108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41"/>
      <c r="AS58" s="42"/>
      <c r="AT58" s="42"/>
      <c r="AU58" s="42"/>
      <c r="AV58" s="42"/>
      <c r="AW58" s="42"/>
      <c r="AX58" s="42"/>
      <c r="AY58" s="42"/>
      <c r="AZ58" s="47"/>
      <c r="BA58" s="48"/>
    </row>
    <row r="59" spans="1:53" s="3" customFormat="1" ht="21.75" customHeight="1">
      <c r="A59" s="109"/>
      <c r="B59" s="125"/>
      <c r="C59" s="106"/>
      <c r="D59" s="109"/>
      <c r="E59" s="21" t="s">
        <v>72</v>
      </c>
      <c r="F59" s="22">
        <f t="shared" si="17"/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41"/>
      <c r="AS59" s="42"/>
      <c r="AT59" s="42"/>
      <c r="AU59" s="42"/>
      <c r="AV59" s="42"/>
      <c r="AW59" s="42"/>
      <c r="AX59" s="42"/>
      <c r="AY59" s="42"/>
      <c r="AZ59" s="47"/>
      <c r="BA59" s="48"/>
    </row>
    <row r="60" spans="1:53" s="5" customFormat="1" ht="21.75" customHeight="1">
      <c r="A60" s="110"/>
      <c r="B60" s="126"/>
      <c r="C60" s="107"/>
      <c r="D60" s="110"/>
      <c r="E60" s="21" t="s">
        <v>73</v>
      </c>
      <c r="F60" s="22">
        <f t="shared" si="17"/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4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45"/>
      <c r="AS60" s="46"/>
      <c r="AT60" s="46"/>
      <c r="AU60" s="46"/>
      <c r="AV60" s="46"/>
      <c r="AW60" s="46"/>
      <c r="AX60" s="46"/>
      <c r="AY60" s="46"/>
      <c r="AZ60" s="51"/>
      <c r="BA60" s="52"/>
    </row>
    <row r="61" spans="1:53" s="3" customFormat="1" ht="21.75" customHeight="1">
      <c r="A61" s="108" t="s">
        <v>100</v>
      </c>
      <c r="B61" s="124" t="s">
        <v>101</v>
      </c>
      <c r="C61" s="144">
        <v>2023</v>
      </c>
      <c r="D61" s="118" t="s">
        <v>102</v>
      </c>
      <c r="E61" s="21" t="s">
        <v>68</v>
      </c>
      <c r="F61" s="22">
        <f>G61+H61+I61+J61+K61+L61+M61</f>
        <v>951.58316000000002</v>
      </c>
      <c r="G61" s="23">
        <f t="shared" ref="G61:M61" si="22">G62+G64+G65+G66</f>
        <v>0</v>
      </c>
      <c r="H61" s="23">
        <f t="shared" si="22"/>
        <v>951.58316000000002</v>
      </c>
      <c r="I61" s="23">
        <f t="shared" si="22"/>
        <v>0</v>
      </c>
      <c r="J61" s="23">
        <f t="shared" si="22"/>
        <v>0</v>
      </c>
      <c r="K61" s="23">
        <f t="shared" si="22"/>
        <v>0</v>
      </c>
      <c r="L61" s="23">
        <f t="shared" si="22"/>
        <v>0</v>
      </c>
      <c r="M61" s="23">
        <f t="shared" si="22"/>
        <v>0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41"/>
      <c r="AS61" s="42"/>
      <c r="AT61" s="42"/>
      <c r="AU61" s="42"/>
      <c r="AV61" s="42"/>
      <c r="AW61" s="42"/>
      <c r="AX61" s="42"/>
      <c r="AY61" s="42"/>
      <c r="AZ61" s="47"/>
      <c r="BA61" s="48"/>
    </row>
    <row r="62" spans="1:53" s="3" customFormat="1" ht="21.75" customHeight="1">
      <c r="A62" s="109"/>
      <c r="B62" s="125"/>
      <c r="C62" s="145"/>
      <c r="D62" s="119"/>
      <c r="E62" s="21" t="s">
        <v>69</v>
      </c>
      <c r="F62" s="22">
        <f>G62+H62+I62+J62+K62+L62+M62</f>
        <v>903.1</v>
      </c>
      <c r="G62" s="24">
        <v>0</v>
      </c>
      <c r="H62" s="30">
        <v>903.1</v>
      </c>
      <c r="I62" s="30"/>
      <c r="J62" s="24">
        <v>0</v>
      </c>
      <c r="K62" s="24">
        <v>0</v>
      </c>
      <c r="L62" s="24">
        <v>0</v>
      </c>
      <c r="M62" s="2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41"/>
      <c r="AS62" s="42"/>
      <c r="AT62" s="42"/>
      <c r="AU62" s="42"/>
      <c r="AV62" s="42"/>
      <c r="AW62" s="42"/>
      <c r="AX62" s="42"/>
      <c r="AY62" s="42"/>
      <c r="AZ62" s="47"/>
      <c r="BA62" s="48"/>
    </row>
    <row r="63" spans="1:53" s="3" customFormat="1" ht="29.25" customHeight="1">
      <c r="A63" s="109"/>
      <c r="B63" s="125"/>
      <c r="C63" s="145"/>
      <c r="D63" s="119"/>
      <c r="E63" s="21" t="s">
        <v>70</v>
      </c>
      <c r="F63" s="22">
        <f t="shared" si="17"/>
        <v>0</v>
      </c>
      <c r="G63" s="24">
        <v>0</v>
      </c>
      <c r="H63" s="24">
        <v>0</v>
      </c>
      <c r="I63" s="24"/>
      <c r="J63" s="24">
        <v>0</v>
      </c>
      <c r="K63" s="24">
        <v>0</v>
      </c>
      <c r="L63" s="24">
        <v>0</v>
      </c>
      <c r="M63" s="2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41"/>
      <c r="AS63" s="42"/>
      <c r="AT63" s="42"/>
      <c r="AU63" s="42"/>
      <c r="AV63" s="42"/>
      <c r="AW63" s="42"/>
      <c r="AX63" s="42"/>
      <c r="AY63" s="42"/>
      <c r="AZ63" s="47"/>
      <c r="BA63" s="48"/>
    </row>
    <row r="64" spans="1:53" s="3" customFormat="1" ht="21.75" customHeight="1">
      <c r="A64" s="109"/>
      <c r="B64" s="125"/>
      <c r="C64" s="145"/>
      <c r="D64" s="119"/>
      <c r="E64" s="21" t="s">
        <v>71</v>
      </c>
      <c r="F64" s="22">
        <f>G64+H64+I64+J64+K64+L64+M64</f>
        <v>47.531579999999998</v>
      </c>
      <c r="G64" s="26"/>
      <c r="H64" s="30">
        <v>47.531579999999998</v>
      </c>
      <c r="I64" s="30"/>
      <c r="J64" s="40"/>
      <c r="K64" s="40"/>
      <c r="L64" s="40"/>
      <c r="M64" s="2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41"/>
      <c r="AS64" s="42"/>
      <c r="AT64" s="42"/>
      <c r="AU64" s="42"/>
      <c r="AV64" s="42"/>
      <c r="AW64" s="42"/>
      <c r="AX64" s="42"/>
      <c r="AY64" s="42"/>
      <c r="AZ64" s="47"/>
      <c r="BA64" s="48"/>
    </row>
    <row r="65" spans="1:53" s="3" customFormat="1" ht="21.75" customHeight="1">
      <c r="A65" s="109"/>
      <c r="B65" s="125"/>
      <c r="C65" s="145"/>
      <c r="D65" s="119"/>
      <c r="E65" s="21" t="s">
        <v>72</v>
      </c>
      <c r="F65" s="22">
        <f>G65+H65+I65+J65+K65+L65+M65</f>
        <v>0.95157999999999998</v>
      </c>
      <c r="G65" s="26">
        <v>0</v>
      </c>
      <c r="H65" s="36">
        <v>0.95157999999999998</v>
      </c>
      <c r="I65" s="36"/>
      <c r="J65" s="26">
        <v>0</v>
      </c>
      <c r="K65" s="26">
        <v>0</v>
      </c>
      <c r="L65" s="26">
        <v>0</v>
      </c>
      <c r="M65" s="2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41"/>
      <c r="AS65" s="42"/>
      <c r="AT65" s="42"/>
      <c r="AU65" s="42"/>
      <c r="AV65" s="42"/>
      <c r="AW65" s="42"/>
      <c r="AX65" s="42"/>
      <c r="AY65" s="42"/>
      <c r="AZ65" s="47"/>
      <c r="BA65" s="48"/>
    </row>
    <row r="66" spans="1:53" s="5" customFormat="1" ht="48" customHeight="1">
      <c r="A66" s="110"/>
      <c r="B66" s="126"/>
      <c r="C66" s="146"/>
      <c r="D66" s="120"/>
      <c r="E66" s="21" t="s">
        <v>73</v>
      </c>
      <c r="F66" s="22">
        <f t="shared" si="17"/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4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45"/>
      <c r="AS66" s="46"/>
      <c r="AT66" s="46"/>
      <c r="AU66" s="46"/>
      <c r="AV66" s="46"/>
      <c r="AW66" s="46"/>
      <c r="AX66" s="46"/>
      <c r="AY66" s="46"/>
      <c r="AZ66" s="51"/>
      <c r="BA66" s="52"/>
    </row>
    <row r="67" spans="1:53" s="3" customFormat="1" ht="21.75" customHeight="1">
      <c r="A67" s="113" t="s">
        <v>103</v>
      </c>
      <c r="B67" s="124" t="s">
        <v>213</v>
      </c>
      <c r="C67" s="147">
        <v>2028</v>
      </c>
      <c r="D67" s="121" t="s">
        <v>93</v>
      </c>
      <c r="E67" s="21" t="s">
        <v>68</v>
      </c>
      <c r="F67" s="22">
        <f>G67+H67+I67+J67+K67+L67+M67</f>
        <v>4280.71101</v>
      </c>
      <c r="G67" s="23">
        <f t="shared" ref="G67:M67" si="23">G68+G70+G71+G72</f>
        <v>0</v>
      </c>
      <c r="H67" s="23">
        <f t="shared" si="23"/>
        <v>0</v>
      </c>
      <c r="I67" s="23">
        <f t="shared" si="23"/>
        <v>0</v>
      </c>
      <c r="J67" s="23">
        <f t="shared" si="23"/>
        <v>0</v>
      </c>
      <c r="K67" s="23">
        <f t="shared" si="23"/>
        <v>0</v>
      </c>
      <c r="L67" s="23">
        <f t="shared" si="23"/>
        <v>0</v>
      </c>
      <c r="M67" s="23">
        <f t="shared" si="23"/>
        <v>4280.71101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41"/>
      <c r="AS67" s="42"/>
      <c r="AT67" s="42"/>
      <c r="AU67" s="42"/>
      <c r="AV67" s="42"/>
      <c r="AW67" s="42"/>
      <c r="AX67" s="42"/>
      <c r="AY67" s="42"/>
      <c r="AZ67" s="47"/>
      <c r="BA67" s="48"/>
    </row>
    <row r="68" spans="1:53" s="3" customFormat="1" ht="21.75" customHeight="1">
      <c r="A68" s="114"/>
      <c r="B68" s="125"/>
      <c r="C68" s="148"/>
      <c r="D68" s="122"/>
      <c r="E68" s="21" t="s">
        <v>69</v>
      </c>
      <c r="F68" s="22">
        <f>G68+H68+I68+J68+K68+L68+M68</f>
        <v>4233.6660000000002</v>
      </c>
      <c r="G68" s="24">
        <v>0</v>
      </c>
      <c r="H68" s="30">
        <v>0</v>
      </c>
      <c r="I68" s="30"/>
      <c r="J68" s="24">
        <v>0</v>
      </c>
      <c r="K68" s="24">
        <v>0</v>
      </c>
      <c r="L68" s="24">
        <v>0</v>
      </c>
      <c r="M68" s="24">
        <v>4233.6660000000002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41"/>
      <c r="AS68" s="42"/>
      <c r="AT68" s="42"/>
      <c r="AU68" s="42"/>
      <c r="AV68" s="42"/>
      <c r="AW68" s="42"/>
      <c r="AX68" s="42"/>
      <c r="AY68" s="42"/>
      <c r="AZ68" s="47"/>
      <c r="BA68" s="48"/>
    </row>
    <row r="69" spans="1:53" s="3" customFormat="1" ht="29.25" customHeight="1">
      <c r="A69" s="114"/>
      <c r="B69" s="125"/>
      <c r="C69" s="148"/>
      <c r="D69" s="122"/>
      <c r="E69" s="21" t="s">
        <v>70</v>
      </c>
      <c r="F69" s="22">
        <f t="shared" ref="F69" si="24">G69+H69+I69+J69+K69+L69</f>
        <v>0</v>
      </c>
      <c r="G69" s="24">
        <v>0</v>
      </c>
      <c r="H69" s="24">
        <v>0</v>
      </c>
      <c r="I69" s="24"/>
      <c r="J69" s="24">
        <v>0</v>
      </c>
      <c r="K69" s="24">
        <v>0</v>
      </c>
      <c r="L69" s="24">
        <v>0</v>
      </c>
      <c r="M69" s="2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41"/>
      <c r="AS69" s="42"/>
      <c r="AT69" s="42"/>
      <c r="AU69" s="42"/>
      <c r="AV69" s="42"/>
      <c r="AW69" s="42"/>
      <c r="AX69" s="42"/>
      <c r="AY69" s="42"/>
      <c r="AZ69" s="47"/>
      <c r="BA69" s="48"/>
    </row>
    <row r="70" spans="1:53" s="3" customFormat="1" ht="21.75" customHeight="1">
      <c r="A70" s="114"/>
      <c r="B70" s="125"/>
      <c r="C70" s="148"/>
      <c r="D70" s="122"/>
      <c r="E70" s="21" t="s">
        <v>71</v>
      </c>
      <c r="F70" s="22">
        <f>G70+H70+I70+J70+K70+L70+M70</f>
        <v>42.764299999999999</v>
      </c>
      <c r="G70" s="26"/>
      <c r="H70" s="30">
        <v>0</v>
      </c>
      <c r="I70" s="30"/>
      <c r="J70" s="40"/>
      <c r="K70" s="40"/>
      <c r="L70" s="40"/>
      <c r="M70" s="24">
        <v>42.764299999999999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41"/>
      <c r="AS70" s="42"/>
      <c r="AT70" s="42"/>
      <c r="AU70" s="42"/>
      <c r="AV70" s="42"/>
      <c r="AW70" s="42"/>
      <c r="AX70" s="42"/>
      <c r="AY70" s="42"/>
      <c r="AZ70" s="47"/>
      <c r="BA70" s="48"/>
    </row>
    <row r="71" spans="1:53" s="3" customFormat="1" ht="21.75" customHeight="1">
      <c r="A71" s="114"/>
      <c r="B71" s="125"/>
      <c r="C71" s="148"/>
      <c r="D71" s="122"/>
      <c r="E71" s="21" t="s">
        <v>72</v>
      </c>
      <c r="F71" s="22">
        <f>G71+H71+I71+J71+K71+L71+M71</f>
        <v>4.28071</v>
      </c>
      <c r="G71" s="26">
        <v>0</v>
      </c>
      <c r="H71" s="36">
        <v>0</v>
      </c>
      <c r="I71" s="36"/>
      <c r="J71" s="26">
        <v>0</v>
      </c>
      <c r="K71" s="26">
        <v>0</v>
      </c>
      <c r="L71" s="26">
        <v>0</v>
      </c>
      <c r="M71" s="24">
        <v>4.28071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41"/>
      <c r="AS71" s="42"/>
      <c r="AT71" s="42"/>
      <c r="AU71" s="42"/>
      <c r="AV71" s="42"/>
      <c r="AW71" s="42"/>
      <c r="AX71" s="42"/>
      <c r="AY71" s="42"/>
      <c r="AZ71" s="47"/>
      <c r="BA71" s="48"/>
    </row>
    <row r="72" spans="1:53" s="5" customFormat="1" ht="24.75" customHeight="1">
      <c r="A72" s="115"/>
      <c r="B72" s="126"/>
      <c r="C72" s="149"/>
      <c r="D72" s="123"/>
      <c r="E72" s="21" t="s">
        <v>73</v>
      </c>
      <c r="F72" s="22">
        <f t="shared" ref="F72" si="25">G72+H72+I72+J72+K72+L72</f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4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45"/>
      <c r="AS72" s="46"/>
      <c r="AT72" s="46"/>
      <c r="AU72" s="46"/>
      <c r="AV72" s="46"/>
      <c r="AW72" s="46"/>
      <c r="AX72" s="46"/>
      <c r="AY72" s="46"/>
      <c r="AZ72" s="51"/>
      <c r="BA72" s="52"/>
    </row>
    <row r="73" spans="1:53" s="3" customFormat="1" ht="21.75" customHeight="1">
      <c r="A73" s="108" t="s">
        <v>104</v>
      </c>
      <c r="B73" s="108" t="s">
        <v>105</v>
      </c>
      <c r="C73" s="105" t="s">
        <v>106</v>
      </c>
      <c r="D73" s="118" t="s">
        <v>107</v>
      </c>
      <c r="E73" s="21" t="s">
        <v>68</v>
      </c>
      <c r="F73" s="22">
        <f>G73+H73+I73+J73+K73+L73+M73</f>
        <v>999.95</v>
      </c>
      <c r="G73" s="23">
        <f t="shared" ref="G73:M73" si="26">G79</f>
        <v>200</v>
      </c>
      <c r="H73" s="23">
        <f t="shared" si="26"/>
        <v>170.6</v>
      </c>
      <c r="I73" s="23">
        <f t="shared" si="26"/>
        <v>139.15</v>
      </c>
      <c r="J73" s="23">
        <f t="shared" si="26"/>
        <v>160.80000000000001</v>
      </c>
      <c r="K73" s="35">
        <f t="shared" si="26"/>
        <v>164.7</v>
      </c>
      <c r="L73" s="35">
        <f t="shared" si="26"/>
        <v>164.7</v>
      </c>
      <c r="M73" s="35">
        <f t="shared" si="26"/>
        <v>0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41"/>
      <c r="AS73" s="42"/>
      <c r="AT73" s="42"/>
      <c r="AU73" s="42"/>
      <c r="AV73" s="42"/>
      <c r="AW73" s="42"/>
      <c r="AX73" s="42"/>
      <c r="AY73" s="42"/>
      <c r="AZ73" s="47"/>
      <c r="BA73" s="48"/>
    </row>
    <row r="74" spans="1:53" s="3" customFormat="1" ht="21.75" customHeight="1">
      <c r="A74" s="109"/>
      <c r="B74" s="109"/>
      <c r="C74" s="106"/>
      <c r="D74" s="119"/>
      <c r="E74" s="21" t="s">
        <v>69</v>
      </c>
      <c r="F74" s="22">
        <f t="shared" si="17"/>
        <v>0</v>
      </c>
      <c r="G74" s="23">
        <f>G80</f>
        <v>0</v>
      </c>
      <c r="H74" s="23">
        <f>H80</f>
        <v>0</v>
      </c>
      <c r="I74" s="23">
        <f>I80</f>
        <v>0</v>
      </c>
      <c r="J74" s="23">
        <f>J80</f>
        <v>0</v>
      </c>
      <c r="K74" s="35">
        <f>K80</f>
        <v>0</v>
      </c>
      <c r="L74" s="35">
        <f t="shared" ref="L74" si="27">L80</f>
        <v>0</v>
      </c>
      <c r="M74" s="35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41"/>
      <c r="AS74" s="42"/>
      <c r="AT74" s="42"/>
      <c r="AU74" s="42"/>
      <c r="AV74" s="42"/>
      <c r="AW74" s="42"/>
      <c r="AX74" s="42"/>
      <c r="AY74" s="42"/>
      <c r="AZ74" s="47"/>
      <c r="BA74" s="48"/>
    </row>
    <row r="75" spans="1:53" s="3" customFormat="1" ht="30.75" customHeight="1">
      <c r="A75" s="109"/>
      <c r="B75" s="109"/>
      <c r="C75" s="106"/>
      <c r="D75" s="119"/>
      <c r="E75" s="21" t="s">
        <v>70</v>
      </c>
      <c r="F75" s="22">
        <f t="shared" si="17"/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35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41"/>
      <c r="AS75" s="42"/>
      <c r="AT75" s="42"/>
      <c r="AU75" s="42"/>
      <c r="AV75" s="42"/>
      <c r="AW75" s="42"/>
      <c r="AX75" s="42"/>
      <c r="AY75" s="42"/>
      <c r="AZ75" s="47"/>
      <c r="BA75" s="48"/>
    </row>
    <row r="76" spans="1:53" s="3" customFormat="1" ht="21.75" customHeight="1">
      <c r="A76" s="109"/>
      <c r="B76" s="109"/>
      <c r="C76" s="106"/>
      <c r="D76" s="119"/>
      <c r="E76" s="21" t="s">
        <v>71</v>
      </c>
      <c r="F76" s="22">
        <f t="shared" si="17"/>
        <v>0</v>
      </c>
      <c r="G76" s="23">
        <f t="shared" ref="G76:M78" si="28">G82</f>
        <v>0</v>
      </c>
      <c r="H76" s="23">
        <f t="shared" si="28"/>
        <v>0</v>
      </c>
      <c r="I76" s="23">
        <f t="shared" si="28"/>
        <v>0</v>
      </c>
      <c r="J76" s="23">
        <f t="shared" si="28"/>
        <v>0</v>
      </c>
      <c r="K76" s="35">
        <f t="shared" si="28"/>
        <v>0</v>
      </c>
      <c r="L76" s="35">
        <f t="shared" ref="L76" si="29">L82</f>
        <v>0</v>
      </c>
      <c r="M76" s="35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41"/>
      <c r="AS76" s="42"/>
      <c r="AT76" s="42"/>
      <c r="AU76" s="42"/>
      <c r="AV76" s="42"/>
      <c r="AW76" s="42"/>
      <c r="AX76" s="42"/>
      <c r="AY76" s="42"/>
      <c r="AZ76" s="47"/>
      <c r="BA76" s="48"/>
    </row>
    <row r="77" spans="1:53" s="3" customFormat="1" ht="21.75" customHeight="1">
      <c r="A77" s="109"/>
      <c r="B77" s="109"/>
      <c r="C77" s="106"/>
      <c r="D77" s="119"/>
      <c r="E77" s="21" t="s">
        <v>72</v>
      </c>
      <c r="F77" s="22">
        <f>G77+H77+I77+J77+K77+L77+M77</f>
        <v>999.95</v>
      </c>
      <c r="G77" s="23">
        <f t="shared" si="28"/>
        <v>200</v>
      </c>
      <c r="H77" s="23">
        <f t="shared" si="28"/>
        <v>170.6</v>
      </c>
      <c r="I77" s="23">
        <f t="shared" si="28"/>
        <v>139.15</v>
      </c>
      <c r="J77" s="23">
        <f t="shared" si="28"/>
        <v>160.80000000000001</v>
      </c>
      <c r="K77" s="35">
        <f t="shared" si="28"/>
        <v>164.7</v>
      </c>
      <c r="L77" s="35">
        <f t="shared" si="28"/>
        <v>164.7</v>
      </c>
      <c r="M77" s="35">
        <f t="shared" si="28"/>
        <v>0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41"/>
      <c r="AS77" s="42"/>
      <c r="AT77" s="42"/>
      <c r="AU77" s="42"/>
      <c r="AV77" s="42"/>
      <c r="AW77" s="42"/>
      <c r="AX77" s="42"/>
      <c r="AY77" s="42"/>
      <c r="AZ77" s="47"/>
      <c r="BA77" s="48"/>
    </row>
    <row r="78" spans="1:53" s="6" customFormat="1" ht="18" customHeight="1">
      <c r="A78" s="110"/>
      <c r="B78" s="110"/>
      <c r="C78" s="107"/>
      <c r="D78" s="120"/>
      <c r="E78" s="21" t="s">
        <v>73</v>
      </c>
      <c r="F78" s="22">
        <f t="shared" si="17"/>
        <v>0</v>
      </c>
      <c r="G78" s="23">
        <f t="shared" si="28"/>
        <v>0</v>
      </c>
      <c r="H78" s="23">
        <f t="shared" si="28"/>
        <v>0</v>
      </c>
      <c r="I78" s="23">
        <f t="shared" si="28"/>
        <v>0</v>
      </c>
      <c r="J78" s="23">
        <f t="shared" si="28"/>
        <v>0</v>
      </c>
      <c r="K78" s="35">
        <f t="shared" si="28"/>
        <v>0</v>
      </c>
      <c r="L78" s="35">
        <f t="shared" ref="L78" si="30">L84</f>
        <v>0</v>
      </c>
      <c r="M78" s="35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57"/>
      <c r="AS78" s="58"/>
      <c r="AT78" s="58"/>
      <c r="AU78" s="58"/>
      <c r="AV78" s="58"/>
      <c r="AW78" s="58"/>
      <c r="AX78" s="58"/>
      <c r="AY78" s="58"/>
      <c r="AZ78" s="59"/>
      <c r="BA78" s="60"/>
    </row>
    <row r="79" spans="1:53" s="3" customFormat="1" ht="21.75" customHeight="1">
      <c r="A79" s="108" t="s">
        <v>10</v>
      </c>
      <c r="B79" s="124" t="s">
        <v>108</v>
      </c>
      <c r="C79" s="105" t="s">
        <v>106</v>
      </c>
      <c r="D79" s="118" t="s">
        <v>107</v>
      </c>
      <c r="E79" s="21" t="s">
        <v>68</v>
      </c>
      <c r="F79" s="22">
        <f>G79+H79+I79+J79+K79+L79+M79</f>
        <v>999.95</v>
      </c>
      <c r="G79" s="23">
        <f t="shared" ref="G79:M79" si="31">G80+G82+G83+G84</f>
        <v>200</v>
      </c>
      <c r="H79" s="23">
        <f t="shared" si="31"/>
        <v>170.6</v>
      </c>
      <c r="I79" s="23">
        <f t="shared" si="31"/>
        <v>139.15</v>
      </c>
      <c r="J79" s="23">
        <f t="shared" si="31"/>
        <v>160.80000000000001</v>
      </c>
      <c r="K79" s="35">
        <f t="shared" si="31"/>
        <v>164.7</v>
      </c>
      <c r="L79" s="35">
        <f t="shared" si="31"/>
        <v>164.7</v>
      </c>
      <c r="M79" s="35">
        <f t="shared" si="31"/>
        <v>0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41"/>
      <c r="AS79" s="42"/>
      <c r="AT79" s="42"/>
      <c r="AU79" s="42"/>
      <c r="AV79" s="42"/>
      <c r="AW79" s="42"/>
      <c r="AX79" s="42"/>
      <c r="AY79" s="42"/>
      <c r="AZ79" s="47"/>
      <c r="BA79" s="48"/>
    </row>
    <row r="80" spans="1:53" s="3" customFormat="1" ht="21.75" customHeight="1">
      <c r="A80" s="109"/>
      <c r="B80" s="125"/>
      <c r="C80" s="106"/>
      <c r="D80" s="119"/>
      <c r="E80" s="21" t="s">
        <v>69</v>
      </c>
      <c r="F80" s="22">
        <f t="shared" si="17"/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41"/>
      <c r="AS80" s="42"/>
      <c r="AT80" s="42"/>
      <c r="AU80" s="42"/>
      <c r="AV80" s="42"/>
      <c r="AW80" s="42"/>
      <c r="AX80" s="42"/>
      <c r="AY80" s="42"/>
      <c r="AZ80" s="47"/>
      <c r="BA80" s="48"/>
    </row>
    <row r="81" spans="1:53" s="3" customFormat="1" ht="27" customHeight="1">
      <c r="A81" s="109"/>
      <c r="B81" s="125"/>
      <c r="C81" s="106"/>
      <c r="D81" s="119"/>
      <c r="E81" s="21" t="s">
        <v>70</v>
      </c>
      <c r="F81" s="22">
        <f t="shared" si="17"/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41"/>
      <c r="AS81" s="42"/>
      <c r="AT81" s="42"/>
      <c r="AU81" s="42"/>
      <c r="AV81" s="42"/>
      <c r="AW81" s="42"/>
      <c r="AX81" s="42"/>
      <c r="AY81" s="42"/>
      <c r="AZ81" s="47"/>
      <c r="BA81" s="48"/>
    </row>
    <row r="82" spans="1:53" s="3" customFormat="1" ht="21.75" customHeight="1">
      <c r="A82" s="109"/>
      <c r="B82" s="125"/>
      <c r="C82" s="106"/>
      <c r="D82" s="119"/>
      <c r="E82" s="21" t="s">
        <v>71</v>
      </c>
      <c r="F82" s="22">
        <f t="shared" si="17"/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41"/>
      <c r="AS82" s="42"/>
      <c r="AT82" s="42"/>
      <c r="AU82" s="42"/>
      <c r="AV82" s="42"/>
      <c r="AW82" s="42"/>
      <c r="AX82" s="42"/>
      <c r="AY82" s="42"/>
      <c r="AZ82" s="47"/>
      <c r="BA82" s="48"/>
    </row>
    <row r="83" spans="1:53" s="3" customFormat="1" ht="21.75" customHeight="1">
      <c r="A83" s="109"/>
      <c r="B83" s="125"/>
      <c r="C83" s="106"/>
      <c r="D83" s="119"/>
      <c r="E83" s="21" t="s">
        <v>72</v>
      </c>
      <c r="F83" s="22">
        <f>G83+H83+I83+J83+K83+L83+M83</f>
        <v>999.95</v>
      </c>
      <c r="G83" s="26">
        <v>200</v>
      </c>
      <c r="H83" s="24">
        <f>200-29.4</f>
        <v>170.6</v>
      </c>
      <c r="I83" s="24">
        <f>139.15</f>
        <v>139.15</v>
      </c>
      <c r="J83" s="24">
        <f>162.4-1.6</f>
        <v>160.80000000000001</v>
      </c>
      <c r="K83" s="24">
        <v>164.7</v>
      </c>
      <c r="L83" s="24">
        <v>164.7</v>
      </c>
      <c r="M83" s="24">
        <v>0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41"/>
      <c r="AS83" s="42"/>
      <c r="AT83" s="42"/>
      <c r="AU83" s="42"/>
      <c r="AV83" s="42"/>
      <c r="AW83" s="42"/>
      <c r="AX83" s="42"/>
      <c r="AY83" s="42"/>
      <c r="AZ83" s="47"/>
      <c r="BA83" s="48"/>
    </row>
    <row r="84" spans="1:53" s="6" customFormat="1" ht="18" customHeight="1">
      <c r="A84" s="110"/>
      <c r="B84" s="126"/>
      <c r="C84" s="107"/>
      <c r="D84" s="120"/>
      <c r="E84" s="21" t="s">
        <v>73</v>
      </c>
      <c r="F84" s="22">
        <f t="shared" ref="F84:F114" si="32">G84+H84+I84+J84+K84+L84</f>
        <v>0</v>
      </c>
      <c r="G84" s="24">
        <v>0</v>
      </c>
      <c r="H84" s="27">
        <v>0</v>
      </c>
      <c r="I84" s="24">
        <v>0</v>
      </c>
      <c r="J84" s="24">
        <v>0</v>
      </c>
      <c r="K84" s="24">
        <v>0</v>
      </c>
      <c r="L84" s="24">
        <v>0</v>
      </c>
      <c r="M84" s="2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57"/>
      <c r="AS84" s="58"/>
      <c r="AT84" s="58"/>
      <c r="AU84" s="58"/>
      <c r="AV84" s="58"/>
      <c r="AW84" s="58"/>
      <c r="AX84" s="58"/>
      <c r="AY84" s="58"/>
      <c r="AZ84" s="59"/>
      <c r="BA84" s="60"/>
    </row>
    <row r="85" spans="1:53" s="3" customFormat="1" ht="21.75" customHeight="1">
      <c r="A85" s="108" t="s">
        <v>109</v>
      </c>
      <c r="B85" s="108" t="s">
        <v>110</v>
      </c>
      <c r="C85" s="105" t="s">
        <v>96</v>
      </c>
      <c r="D85" s="108" t="s">
        <v>111</v>
      </c>
      <c r="E85" s="53" t="s">
        <v>68</v>
      </c>
      <c r="F85" s="22">
        <f>G85+H85+I85+J85+K85+L85+M85</f>
        <v>257439.81473999997</v>
      </c>
      <c r="G85" s="23">
        <f>G91+G97+G103+G109+G115</f>
        <v>25014.947349999999</v>
      </c>
      <c r="H85" s="23">
        <f>H91+H97+H103+H109+H115</f>
        <v>31872.0419</v>
      </c>
      <c r="I85" s="23">
        <f>I91+I97+I103+I109+I115+I121</f>
        <v>35052.640370000001</v>
      </c>
      <c r="J85" s="23">
        <f>J91+J97+J103+J109+J115+J121</f>
        <v>38036.769700000004</v>
      </c>
      <c r="K85" s="35">
        <f>K91+K97+K103+K109+K115+K121</f>
        <v>42416.895420000001</v>
      </c>
      <c r="L85" s="35">
        <f>L91+L97+L103+L109</f>
        <v>41373.432999999997</v>
      </c>
      <c r="M85" s="35">
        <f>M91+M97+M103+M109</f>
        <v>43673.087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41"/>
      <c r="AS85" s="42"/>
      <c r="AT85" s="42"/>
      <c r="AU85" s="42"/>
      <c r="AV85" s="42"/>
      <c r="AW85" s="42"/>
      <c r="AX85" s="42"/>
      <c r="AY85" s="42"/>
      <c r="AZ85" s="47"/>
      <c r="BA85" s="48"/>
    </row>
    <row r="86" spans="1:53" s="3" customFormat="1" ht="21.75" customHeight="1">
      <c r="A86" s="109"/>
      <c r="B86" s="109"/>
      <c r="C86" s="106"/>
      <c r="D86" s="109"/>
      <c r="E86" s="53" t="s">
        <v>69</v>
      </c>
      <c r="F86" s="22">
        <f>G86+H86+I86+J86+K86+L86+M86</f>
        <v>1754.9</v>
      </c>
      <c r="G86" s="23">
        <f>G98+G104+G110</f>
        <v>0</v>
      </c>
      <c r="H86" s="23">
        <f>H98+H104+H110</f>
        <v>0</v>
      </c>
      <c r="I86" s="23">
        <f>I122</f>
        <v>837.9</v>
      </c>
      <c r="J86" s="23">
        <f>J122</f>
        <v>0</v>
      </c>
      <c r="K86" s="35">
        <f>K98+K104+K110+K122</f>
        <v>917</v>
      </c>
      <c r="L86" s="35">
        <f t="shared" ref="L86" si="33">L98+L104+L110</f>
        <v>0</v>
      </c>
      <c r="M86" s="35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41"/>
      <c r="AS86" s="42"/>
      <c r="AT86" s="42"/>
      <c r="AU86" s="42"/>
      <c r="AV86" s="42"/>
      <c r="AW86" s="42"/>
      <c r="AX86" s="42"/>
      <c r="AY86" s="42"/>
      <c r="AZ86" s="47"/>
      <c r="BA86" s="48"/>
    </row>
    <row r="87" spans="1:53" s="3" customFormat="1" ht="26.25" customHeight="1">
      <c r="A87" s="109"/>
      <c r="B87" s="109"/>
      <c r="C87" s="106"/>
      <c r="D87" s="109"/>
      <c r="E87" s="21" t="s">
        <v>70</v>
      </c>
      <c r="F87" s="22">
        <f t="shared" si="32"/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35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41"/>
      <c r="AS87" s="42"/>
      <c r="AT87" s="42"/>
      <c r="AU87" s="42"/>
      <c r="AV87" s="42"/>
      <c r="AW87" s="42"/>
      <c r="AX87" s="42"/>
      <c r="AY87" s="42"/>
      <c r="AZ87" s="47"/>
      <c r="BA87" s="48"/>
    </row>
    <row r="88" spans="1:53" s="3" customFormat="1" ht="21.75" customHeight="1">
      <c r="A88" s="109"/>
      <c r="B88" s="109"/>
      <c r="C88" s="106"/>
      <c r="D88" s="109"/>
      <c r="E88" s="53" t="s">
        <v>71</v>
      </c>
      <c r="F88" s="22">
        <f>G88+H88+I88+J88+K88+L88+M88</f>
        <v>102.63191</v>
      </c>
      <c r="G88" s="23">
        <f>G100+G106+G112</f>
        <v>0</v>
      </c>
      <c r="H88" s="23">
        <f>H100+H106+H112</f>
        <v>0</v>
      </c>
      <c r="I88" s="23">
        <f>I124</f>
        <v>44.1</v>
      </c>
      <c r="J88" s="23">
        <f>J94+J100+J106+J112+J118+J124</f>
        <v>0</v>
      </c>
      <c r="K88" s="35">
        <f>K100+K106+K112+K124</f>
        <v>58.531910000000003</v>
      </c>
      <c r="L88" s="35">
        <f t="shared" ref="L88" si="34">L100+L106+L112</f>
        <v>0</v>
      </c>
      <c r="M88" s="35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41"/>
      <c r="AS88" s="42"/>
      <c r="AT88" s="42"/>
      <c r="AU88" s="42"/>
      <c r="AV88" s="42"/>
      <c r="AW88" s="42"/>
      <c r="AX88" s="42"/>
      <c r="AY88" s="42"/>
      <c r="AZ88" s="47"/>
      <c r="BA88" s="48"/>
    </row>
    <row r="89" spans="1:53" s="3" customFormat="1" ht="21.75" customHeight="1">
      <c r="A89" s="109"/>
      <c r="B89" s="109"/>
      <c r="C89" s="106"/>
      <c r="D89" s="109"/>
      <c r="E89" s="53" t="s">
        <v>72</v>
      </c>
      <c r="F89" s="22">
        <f>G89+H89+I89+J89+K89+L89+M89</f>
        <v>255582.28282999998</v>
      </c>
      <c r="G89" s="23">
        <f>G95+G101+G107+G113+G119+G125</f>
        <v>25014.947349999999</v>
      </c>
      <c r="H89" s="23">
        <f>H91+H97+H103+H109+H115</f>
        <v>31872.0419</v>
      </c>
      <c r="I89" s="23">
        <f>I95+I101+I107+I113+I119+I125</f>
        <v>34170.640370000001</v>
      </c>
      <c r="J89" s="23">
        <f>J95+J101+J107+J113+J119+J125</f>
        <v>38036.769700000004</v>
      </c>
      <c r="K89" s="35">
        <f>K95+K101+K107+K113+K125</f>
        <v>41441.363510000003</v>
      </c>
      <c r="L89" s="35">
        <f t="shared" ref="L89:M89" si="35">L95+L101+L107+L113</f>
        <v>41373.432999999997</v>
      </c>
      <c r="M89" s="35">
        <f t="shared" si="35"/>
        <v>43673.087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41"/>
      <c r="AS89" s="42"/>
      <c r="AT89" s="42"/>
      <c r="AU89" s="42"/>
      <c r="AV89" s="42"/>
      <c r="AW89" s="42"/>
      <c r="AX89" s="42"/>
      <c r="AY89" s="42"/>
      <c r="AZ89" s="47"/>
      <c r="BA89" s="48"/>
    </row>
    <row r="90" spans="1:53" s="6" customFormat="1" ht="19.5" customHeight="1">
      <c r="A90" s="110"/>
      <c r="B90" s="110"/>
      <c r="C90" s="107"/>
      <c r="D90" s="109"/>
      <c r="E90" s="53" t="s">
        <v>73</v>
      </c>
      <c r="F90" s="22">
        <f t="shared" si="32"/>
        <v>0</v>
      </c>
      <c r="G90" s="23">
        <f>G102+G108+G114</f>
        <v>0</v>
      </c>
      <c r="H90" s="23">
        <f>H102+H108+H114</f>
        <v>0</v>
      </c>
      <c r="I90" s="23">
        <f>I102+I108+I114</f>
        <v>0</v>
      </c>
      <c r="J90" s="23">
        <f>J102+J108+J114</f>
        <v>0</v>
      </c>
      <c r="K90" s="35">
        <f>K102+K108+K114</f>
        <v>0</v>
      </c>
      <c r="L90" s="35">
        <f t="shared" ref="L90" si="36">L102+L108+L114</f>
        <v>0</v>
      </c>
      <c r="M90" s="35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57"/>
      <c r="AS90" s="58"/>
      <c r="AT90" s="58"/>
      <c r="AU90" s="58"/>
      <c r="AV90" s="58"/>
      <c r="AW90" s="58"/>
      <c r="AX90" s="58"/>
      <c r="AY90" s="58"/>
      <c r="AZ90" s="59"/>
      <c r="BA90" s="60"/>
    </row>
    <row r="91" spans="1:53" s="3" customFormat="1" ht="21.75" customHeight="1">
      <c r="A91" s="108" t="s">
        <v>112</v>
      </c>
      <c r="B91" s="124" t="s">
        <v>113</v>
      </c>
      <c r="C91" s="105" t="s">
        <v>80</v>
      </c>
      <c r="D91" s="113" t="s">
        <v>114</v>
      </c>
      <c r="E91" s="53" t="s">
        <v>68</v>
      </c>
      <c r="F91" s="22">
        <f>G91+H91+I91+J91+K91+L91+M91</f>
        <v>2867.0219999999999</v>
      </c>
      <c r="G91" s="23">
        <f>G92+G94+G95+G96</f>
        <v>549.04200000000003</v>
      </c>
      <c r="H91" s="23">
        <f t="shared" ref="H91:K91" si="37">H92+H94+H95+H96</f>
        <v>1247.5</v>
      </c>
      <c r="I91" s="23">
        <f t="shared" si="37"/>
        <v>775.15</v>
      </c>
      <c r="J91" s="23">
        <f t="shared" si="37"/>
        <v>295.33</v>
      </c>
      <c r="K91" s="35">
        <f t="shared" si="37"/>
        <v>0</v>
      </c>
      <c r="L91" s="35">
        <f t="shared" ref="L91:M91" si="38">L92+L94+L95+L96</f>
        <v>0</v>
      </c>
      <c r="M91" s="35">
        <f t="shared" si="38"/>
        <v>0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41"/>
      <c r="AS91" s="42"/>
      <c r="AT91" s="42"/>
      <c r="AU91" s="42"/>
      <c r="AV91" s="42"/>
      <c r="AW91" s="42"/>
      <c r="AX91" s="42"/>
      <c r="AY91" s="42"/>
      <c r="AZ91" s="47"/>
      <c r="BA91" s="48"/>
    </row>
    <row r="92" spans="1:53" s="3" customFormat="1" ht="21.75" customHeight="1">
      <c r="A92" s="109"/>
      <c r="B92" s="125"/>
      <c r="C92" s="106"/>
      <c r="D92" s="156"/>
      <c r="E92" s="53" t="s">
        <v>69</v>
      </c>
      <c r="F92" s="22">
        <f t="shared" si="32"/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41"/>
      <c r="AS92" s="42"/>
      <c r="AT92" s="42"/>
      <c r="AU92" s="42"/>
      <c r="AV92" s="42"/>
      <c r="AW92" s="42"/>
      <c r="AX92" s="42"/>
      <c r="AY92" s="42"/>
      <c r="AZ92" s="47"/>
      <c r="BA92" s="48"/>
    </row>
    <row r="93" spans="1:53" s="3" customFormat="1" ht="25.5" customHeight="1">
      <c r="A93" s="109"/>
      <c r="B93" s="125"/>
      <c r="C93" s="106"/>
      <c r="D93" s="156"/>
      <c r="E93" s="21" t="s">
        <v>70</v>
      </c>
      <c r="F93" s="22">
        <f t="shared" si="32"/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41"/>
      <c r="AS93" s="42"/>
      <c r="AT93" s="42"/>
      <c r="AU93" s="42"/>
      <c r="AV93" s="42"/>
      <c r="AW93" s="42"/>
      <c r="AX93" s="42"/>
      <c r="AY93" s="42"/>
      <c r="AZ93" s="47"/>
      <c r="BA93" s="48"/>
    </row>
    <row r="94" spans="1:53" s="3" customFormat="1" ht="21.75" customHeight="1">
      <c r="A94" s="109"/>
      <c r="B94" s="125"/>
      <c r="C94" s="106"/>
      <c r="D94" s="156"/>
      <c r="E94" s="53" t="s">
        <v>71</v>
      </c>
      <c r="F94" s="22">
        <f t="shared" si="32"/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41"/>
      <c r="AS94" s="42"/>
      <c r="AT94" s="42"/>
      <c r="AU94" s="42"/>
      <c r="AV94" s="42"/>
      <c r="AW94" s="42"/>
      <c r="AX94" s="42"/>
      <c r="AY94" s="42"/>
      <c r="AZ94" s="47"/>
      <c r="BA94" s="48"/>
    </row>
    <row r="95" spans="1:53" s="3" customFormat="1" ht="21.75" customHeight="1">
      <c r="A95" s="109"/>
      <c r="B95" s="125"/>
      <c r="C95" s="106"/>
      <c r="D95" s="156"/>
      <c r="E95" s="53" t="s">
        <v>72</v>
      </c>
      <c r="F95" s="22">
        <f>G95+H95+I95+J95+K95+L95+M95</f>
        <v>2867.0219999999999</v>
      </c>
      <c r="G95" s="26">
        <v>549.04200000000003</v>
      </c>
      <c r="H95" s="24">
        <f>1247.5</f>
        <v>1247.5</v>
      </c>
      <c r="I95" s="30">
        <f>775.15</f>
        <v>775.15</v>
      </c>
      <c r="J95" s="30">
        <f>295.33</f>
        <v>295.33</v>
      </c>
      <c r="K95" s="24">
        <v>0</v>
      </c>
      <c r="L95" s="24">
        <v>0</v>
      </c>
      <c r="M95" s="2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41"/>
      <c r="AS95" s="42"/>
      <c r="AT95" s="42"/>
      <c r="AU95" s="42"/>
      <c r="AV95" s="42"/>
      <c r="AW95" s="42"/>
      <c r="AX95" s="42"/>
      <c r="AY95" s="42"/>
      <c r="AZ95" s="47"/>
      <c r="BA95" s="48"/>
    </row>
    <row r="96" spans="1:53" s="6" customFormat="1" ht="21.75" customHeight="1">
      <c r="A96" s="110"/>
      <c r="B96" s="126"/>
      <c r="C96" s="107"/>
      <c r="D96" s="157"/>
      <c r="E96" s="53" t="s">
        <v>73</v>
      </c>
      <c r="F96" s="22">
        <f t="shared" si="32"/>
        <v>0</v>
      </c>
      <c r="G96" s="24">
        <v>0</v>
      </c>
      <c r="H96" s="27">
        <v>0</v>
      </c>
      <c r="I96" s="24">
        <v>0</v>
      </c>
      <c r="J96" s="24">
        <v>0</v>
      </c>
      <c r="K96" s="24">
        <v>0</v>
      </c>
      <c r="L96" s="24">
        <v>0</v>
      </c>
      <c r="M96" s="24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57"/>
      <c r="AS96" s="58"/>
      <c r="AT96" s="58"/>
      <c r="AU96" s="58"/>
      <c r="AV96" s="58"/>
      <c r="AW96" s="58"/>
      <c r="AX96" s="58"/>
      <c r="AY96" s="58"/>
      <c r="AZ96" s="59"/>
      <c r="BA96" s="60"/>
    </row>
    <row r="97" spans="1:53" s="3" customFormat="1" ht="21.75" customHeight="1">
      <c r="A97" s="108" t="s">
        <v>15</v>
      </c>
      <c r="B97" s="124" t="s">
        <v>115</v>
      </c>
      <c r="C97" s="105" t="s">
        <v>66</v>
      </c>
      <c r="D97" s="113" t="s">
        <v>116</v>
      </c>
      <c r="E97" s="53" t="s">
        <v>68</v>
      </c>
      <c r="F97" s="22">
        <f>G97+H97+I97+J97+K97+L97+M97</f>
        <v>139981.2187</v>
      </c>
      <c r="G97" s="23">
        <f>G98+G100+G101+G102</f>
        <v>13447.621999999999</v>
      </c>
      <c r="H97" s="23">
        <f t="shared" ref="H97:M97" si="39">H98+H100+H101+H102</f>
        <v>16493.159</v>
      </c>
      <c r="I97" s="23">
        <f t="shared" si="39"/>
        <v>18826.055</v>
      </c>
      <c r="J97" s="23">
        <f t="shared" si="39"/>
        <v>20880.268700000001</v>
      </c>
      <c r="K97" s="35">
        <f t="shared" si="39"/>
        <v>22235.924999999999</v>
      </c>
      <c r="L97" s="35">
        <f t="shared" si="39"/>
        <v>23394.155999999999</v>
      </c>
      <c r="M97" s="35">
        <f t="shared" si="39"/>
        <v>24704.032999999999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41"/>
      <c r="AS97" s="42"/>
      <c r="AT97" s="42"/>
      <c r="AU97" s="42"/>
      <c r="AV97" s="42"/>
      <c r="AW97" s="42"/>
      <c r="AX97" s="42"/>
      <c r="AY97" s="42"/>
      <c r="AZ97" s="47"/>
      <c r="BA97" s="48"/>
    </row>
    <row r="98" spans="1:53" s="3" customFormat="1" ht="21.75" customHeight="1">
      <c r="A98" s="109"/>
      <c r="B98" s="125"/>
      <c r="C98" s="106"/>
      <c r="D98" s="156"/>
      <c r="E98" s="53" t="s">
        <v>69</v>
      </c>
      <c r="F98" s="22">
        <f t="shared" si="32"/>
        <v>0</v>
      </c>
      <c r="G98" s="24">
        <v>0</v>
      </c>
      <c r="H98" s="24">
        <v>0</v>
      </c>
      <c r="I98" s="24">
        <v>0</v>
      </c>
      <c r="J98" s="24">
        <v>0</v>
      </c>
      <c r="K98" s="56"/>
      <c r="L98" s="56"/>
      <c r="M98" s="56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41"/>
      <c r="AS98" s="42"/>
      <c r="AT98" s="42"/>
      <c r="AU98" s="42"/>
      <c r="AV98" s="42"/>
      <c r="AW98" s="42"/>
      <c r="AX98" s="42"/>
      <c r="AY98" s="42"/>
      <c r="AZ98" s="47"/>
      <c r="BA98" s="48"/>
    </row>
    <row r="99" spans="1:53" s="3" customFormat="1" ht="30" customHeight="1">
      <c r="A99" s="109"/>
      <c r="B99" s="125"/>
      <c r="C99" s="106"/>
      <c r="D99" s="156"/>
      <c r="E99" s="21" t="s">
        <v>70</v>
      </c>
      <c r="F99" s="22">
        <f t="shared" si="32"/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56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41"/>
      <c r="AS99" s="42"/>
      <c r="AT99" s="42"/>
      <c r="AU99" s="42"/>
      <c r="AV99" s="42"/>
      <c r="AW99" s="42"/>
      <c r="AX99" s="42"/>
      <c r="AY99" s="42"/>
      <c r="AZ99" s="47"/>
      <c r="BA99" s="48"/>
    </row>
    <row r="100" spans="1:53" s="3" customFormat="1" ht="21.75" customHeight="1">
      <c r="A100" s="109"/>
      <c r="B100" s="125"/>
      <c r="C100" s="106"/>
      <c r="D100" s="156"/>
      <c r="E100" s="53" t="s">
        <v>71</v>
      </c>
      <c r="F100" s="22">
        <f t="shared" si="32"/>
        <v>0</v>
      </c>
      <c r="G100" s="24">
        <v>0</v>
      </c>
      <c r="H100" s="24">
        <v>0</v>
      </c>
      <c r="I100" s="24">
        <v>0</v>
      </c>
      <c r="J100" s="24">
        <v>0</v>
      </c>
      <c r="K100" s="56"/>
      <c r="L100" s="56"/>
      <c r="M100" s="56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41"/>
      <c r="AS100" s="42"/>
      <c r="AT100" s="42"/>
      <c r="AU100" s="42"/>
      <c r="AV100" s="42"/>
      <c r="AW100" s="42"/>
      <c r="AX100" s="42"/>
      <c r="AY100" s="42"/>
      <c r="AZ100" s="47"/>
      <c r="BA100" s="48"/>
    </row>
    <row r="101" spans="1:53" s="3" customFormat="1" ht="21.75" customHeight="1">
      <c r="A101" s="109"/>
      <c r="B101" s="125"/>
      <c r="C101" s="106"/>
      <c r="D101" s="156"/>
      <c r="E101" s="53" t="s">
        <v>72</v>
      </c>
      <c r="F101" s="22">
        <f>G101+H101+I101+J101+K101+L101+M101</f>
        <v>139981.2187</v>
      </c>
      <c r="G101" s="26">
        <f>13200.514+137.108-141.215+251.215</f>
        <v>13447.621999999999</v>
      </c>
      <c r="H101" s="24">
        <f>16493.159</f>
        <v>16493.159</v>
      </c>
      <c r="I101" s="24">
        <f>18826.055</f>
        <v>18826.055</v>
      </c>
      <c r="J101" s="24">
        <v>20880.268700000001</v>
      </c>
      <c r="K101" s="24">
        <v>22235.924999999999</v>
      </c>
      <c r="L101" s="26">
        <v>23394.155999999999</v>
      </c>
      <c r="M101" s="56">
        <v>24704.032999999999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41"/>
      <c r="AS101" s="42"/>
      <c r="AT101" s="42"/>
      <c r="AU101" s="42"/>
      <c r="AV101" s="42"/>
      <c r="AW101" s="42"/>
      <c r="AX101" s="42"/>
      <c r="AY101" s="42"/>
      <c r="AZ101" s="47"/>
      <c r="BA101" s="48"/>
    </row>
    <row r="102" spans="1:53" s="6" customFormat="1" ht="21.75" customHeight="1">
      <c r="A102" s="110"/>
      <c r="B102" s="126"/>
      <c r="C102" s="107"/>
      <c r="D102" s="157"/>
      <c r="E102" s="53" t="s">
        <v>73</v>
      </c>
      <c r="F102" s="22">
        <f t="shared" si="32"/>
        <v>0</v>
      </c>
      <c r="G102" s="24">
        <v>0</v>
      </c>
      <c r="H102" s="27">
        <v>0</v>
      </c>
      <c r="I102" s="24">
        <v>0</v>
      </c>
      <c r="J102" s="24">
        <v>0</v>
      </c>
      <c r="K102" s="56"/>
      <c r="L102" s="56"/>
      <c r="M102" s="56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57"/>
      <c r="AS102" s="58"/>
      <c r="AT102" s="58"/>
      <c r="AU102" s="58"/>
      <c r="AV102" s="58"/>
      <c r="AW102" s="58"/>
      <c r="AX102" s="58"/>
      <c r="AY102" s="58"/>
      <c r="AZ102" s="59"/>
      <c r="BA102" s="60"/>
    </row>
    <row r="103" spans="1:53" s="3" customFormat="1" ht="21.75" customHeight="1">
      <c r="A103" s="108" t="s">
        <v>117</v>
      </c>
      <c r="B103" s="124" t="s">
        <v>118</v>
      </c>
      <c r="C103" s="105" t="s">
        <v>96</v>
      </c>
      <c r="D103" s="113" t="s">
        <v>119</v>
      </c>
      <c r="E103" s="53" t="s">
        <v>68</v>
      </c>
      <c r="F103" s="22">
        <f>G103+H103+I103+J103+K103+L103+M103</f>
        <v>51419.654999999999</v>
      </c>
      <c r="G103" s="23">
        <f t="shared" ref="G103:J103" si="40">G104+G106+G107+G108</f>
        <v>5178.9229999999998</v>
      </c>
      <c r="H103" s="23">
        <f t="shared" si="40"/>
        <v>6297.915</v>
      </c>
      <c r="I103" s="23">
        <f t="shared" si="40"/>
        <v>6833.3670000000002</v>
      </c>
      <c r="J103" s="23">
        <f t="shared" si="40"/>
        <v>7909.95</v>
      </c>
      <c r="K103" s="23">
        <f t="shared" ref="K103:M103" si="41">K104+K106+K107+K108</f>
        <v>8551.9660000000003</v>
      </c>
      <c r="L103" s="23">
        <f t="shared" si="41"/>
        <v>8099.0010000000002</v>
      </c>
      <c r="M103" s="23">
        <f t="shared" si="41"/>
        <v>8548.5329999999994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41"/>
      <c r="AS103" s="42"/>
      <c r="AT103" s="42"/>
      <c r="AU103" s="42"/>
      <c r="AV103" s="42"/>
      <c r="AW103" s="42"/>
      <c r="AX103" s="42"/>
      <c r="AY103" s="42"/>
      <c r="AZ103" s="47"/>
      <c r="BA103" s="48"/>
    </row>
    <row r="104" spans="1:53" s="3" customFormat="1" ht="21.75" customHeight="1">
      <c r="A104" s="109"/>
      <c r="B104" s="125"/>
      <c r="C104" s="106"/>
      <c r="D104" s="156"/>
      <c r="E104" s="53" t="s">
        <v>69</v>
      </c>
      <c r="F104" s="22">
        <f t="shared" si="32"/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41"/>
      <c r="AS104" s="42"/>
      <c r="AT104" s="42"/>
      <c r="AU104" s="42"/>
      <c r="AV104" s="42"/>
      <c r="AW104" s="42"/>
      <c r="AX104" s="42"/>
      <c r="AY104" s="42"/>
      <c r="AZ104" s="47"/>
      <c r="BA104" s="48"/>
    </row>
    <row r="105" spans="1:53" s="3" customFormat="1" ht="27.75" customHeight="1">
      <c r="A105" s="109"/>
      <c r="B105" s="125"/>
      <c r="C105" s="106"/>
      <c r="D105" s="156"/>
      <c r="E105" s="21" t="s">
        <v>70</v>
      </c>
      <c r="F105" s="22">
        <f t="shared" si="32"/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41"/>
      <c r="AS105" s="42"/>
      <c r="AT105" s="42"/>
      <c r="AU105" s="42"/>
      <c r="AV105" s="42"/>
      <c r="AW105" s="42"/>
      <c r="AX105" s="42"/>
      <c r="AY105" s="42"/>
      <c r="AZ105" s="47"/>
      <c r="BA105" s="48"/>
    </row>
    <row r="106" spans="1:53" s="3" customFormat="1" ht="21.75" customHeight="1">
      <c r="A106" s="109"/>
      <c r="B106" s="125"/>
      <c r="C106" s="106"/>
      <c r="D106" s="156"/>
      <c r="E106" s="53" t="s">
        <v>71</v>
      </c>
      <c r="F106" s="22">
        <f t="shared" si="32"/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41"/>
      <c r="AS106" s="42"/>
      <c r="AT106" s="42"/>
      <c r="AU106" s="42"/>
      <c r="AV106" s="42"/>
      <c r="AW106" s="42"/>
      <c r="AX106" s="42"/>
      <c r="AY106" s="42"/>
      <c r="AZ106" s="47"/>
      <c r="BA106" s="48"/>
    </row>
    <row r="107" spans="1:53" s="3" customFormat="1" ht="21.75" customHeight="1">
      <c r="A107" s="109"/>
      <c r="B107" s="125"/>
      <c r="C107" s="106"/>
      <c r="D107" s="156"/>
      <c r="E107" s="53" t="s">
        <v>72</v>
      </c>
      <c r="F107" s="22">
        <f>G107+H107+I107+J107+K107+L107+M107</f>
        <v>51419.654999999999</v>
      </c>
      <c r="G107" s="26">
        <v>5178.9229999999998</v>
      </c>
      <c r="H107" s="24">
        <f>6297.915</f>
        <v>6297.915</v>
      </c>
      <c r="I107" s="26">
        <f>6890.527-57.16</f>
        <v>6833.3670000000002</v>
      </c>
      <c r="J107" s="26">
        <f>7909.95</f>
        <v>7909.95</v>
      </c>
      <c r="K107" s="24">
        <v>8551.9660000000003</v>
      </c>
      <c r="L107" s="26">
        <v>8099.0010000000002</v>
      </c>
      <c r="M107" s="24">
        <v>8548.5329999999994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41"/>
      <c r="AS107" s="42"/>
      <c r="AT107" s="42"/>
      <c r="AU107" s="42"/>
      <c r="AV107" s="42"/>
      <c r="AW107" s="42"/>
      <c r="AX107" s="42"/>
      <c r="AY107" s="42"/>
      <c r="AZ107" s="47"/>
      <c r="BA107" s="48"/>
    </row>
    <row r="108" spans="1:53" s="6" customFormat="1" ht="21.75" customHeight="1">
      <c r="A108" s="110"/>
      <c r="B108" s="126"/>
      <c r="C108" s="107"/>
      <c r="D108" s="157"/>
      <c r="E108" s="53" t="s">
        <v>73</v>
      </c>
      <c r="F108" s="22">
        <f t="shared" si="32"/>
        <v>0</v>
      </c>
      <c r="G108" s="24">
        <v>0</v>
      </c>
      <c r="H108" s="27">
        <v>0</v>
      </c>
      <c r="I108" s="24">
        <v>0</v>
      </c>
      <c r="J108" s="24">
        <v>0</v>
      </c>
      <c r="K108" s="24">
        <v>0</v>
      </c>
      <c r="L108" s="24">
        <v>0</v>
      </c>
      <c r="M108" s="24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57"/>
      <c r="AS108" s="58"/>
      <c r="AT108" s="58"/>
      <c r="AU108" s="58"/>
      <c r="AV108" s="58"/>
      <c r="AW108" s="58"/>
      <c r="AX108" s="58"/>
      <c r="AY108" s="58"/>
      <c r="AZ108" s="59"/>
      <c r="BA108" s="60"/>
    </row>
    <row r="109" spans="1:53" s="3" customFormat="1" ht="21.75" customHeight="1">
      <c r="A109" s="108" t="s">
        <v>120</v>
      </c>
      <c r="B109" s="124" t="s">
        <v>121</v>
      </c>
      <c r="C109" s="105" t="s">
        <v>66</v>
      </c>
      <c r="D109" s="113" t="s">
        <v>122</v>
      </c>
      <c r="E109" s="53" t="s">
        <v>68</v>
      </c>
      <c r="F109" s="22">
        <f>G109+H109+I109+J109+K109+L109+M109</f>
        <v>60729.527739999998</v>
      </c>
      <c r="G109" s="23">
        <f t="shared" ref="G109:J109" si="42">G110+G112+G113+G114</f>
        <v>5632.3603499999999</v>
      </c>
      <c r="H109" s="23">
        <f t="shared" si="42"/>
        <v>7457.4678999999996</v>
      </c>
      <c r="I109" s="23">
        <f t="shared" si="42"/>
        <v>7735.1854899999998</v>
      </c>
      <c r="J109" s="23">
        <f t="shared" si="42"/>
        <v>8951.2209999999995</v>
      </c>
      <c r="K109" s="23">
        <f t="shared" ref="K109:M109" si="43">K110+K112+K113+K114</f>
        <v>10652.495999999999</v>
      </c>
      <c r="L109" s="23">
        <f t="shared" si="43"/>
        <v>9880.2759999999998</v>
      </c>
      <c r="M109" s="23">
        <f t="shared" si="43"/>
        <v>10420.521000000001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41"/>
      <c r="AS109" s="42"/>
      <c r="AT109" s="42"/>
      <c r="AU109" s="42"/>
      <c r="AV109" s="42"/>
      <c r="AW109" s="42"/>
      <c r="AX109" s="42"/>
      <c r="AY109" s="42"/>
      <c r="AZ109" s="47"/>
      <c r="BA109" s="48"/>
    </row>
    <row r="110" spans="1:53" s="3" customFormat="1" ht="21.75" customHeight="1">
      <c r="A110" s="109"/>
      <c r="B110" s="125"/>
      <c r="C110" s="106"/>
      <c r="D110" s="156"/>
      <c r="E110" s="53" t="s">
        <v>69</v>
      </c>
      <c r="F110" s="22">
        <f t="shared" si="32"/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41"/>
      <c r="AS110" s="42"/>
      <c r="AT110" s="42"/>
      <c r="AU110" s="42"/>
      <c r="AV110" s="42"/>
      <c r="AW110" s="42"/>
      <c r="AX110" s="42"/>
      <c r="AY110" s="42"/>
      <c r="AZ110" s="47"/>
      <c r="BA110" s="48"/>
    </row>
    <row r="111" spans="1:53" s="3" customFormat="1" ht="27" customHeight="1">
      <c r="A111" s="109"/>
      <c r="B111" s="125"/>
      <c r="C111" s="106"/>
      <c r="D111" s="156"/>
      <c r="E111" s="21" t="s">
        <v>70</v>
      </c>
      <c r="F111" s="22">
        <f t="shared" si="32"/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41"/>
      <c r="AS111" s="42"/>
      <c r="AT111" s="42"/>
      <c r="AU111" s="42"/>
      <c r="AV111" s="42"/>
      <c r="AW111" s="42"/>
      <c r="AX111" s="42"/>
      <c r="AY111" s="42"/>
      <c r="AZ111" s="47"/>
      <c r="BA111" s="48"/>
    </row>
    <row r="112" spans="1:53" s="3" customFormat="1" ht="21.75" customHeight="1">
      <c r="A112" s="109"/>
      <c r="B112" s="125"/>
      <c r="C112" s="106"/>
      <c r="D112" s="156"/>
      <c r="E112" s="53" t="s">
        <v>71</v>
      </c>
      <c r="F112" s="22">
        <f t="shared" si="32"/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41"/>
      <c r="AS112" s="42"/>
      <c r="AT112" s="42"/>
      <c r="AU112" s="42"/>
      <c r="AV112" s="42"/>
      <c r="AW112" s="42"/>
      <c r="AX112" s="42"/>
      <c r="AY112" s="42"/>
      <c r="AZ112" s="47"/>
      <c r="BA112" s="48"/>
    </row>
    <row r="113" spans="1:53" s="3" customFormat="1" ht="21.75" customHeight="1">
      <c r="A113" s="109"/>
      <c r="B113" s="125"/>
      <c r="C113" s="106"/>
      <c r="D113" s="156"/>
      <c r="E113" s="53" t="s">
        <v>72</v>
      </c>
      <c r="F113" s="22">
        <f>G113+H113+I113+J113+K113+L113+M113</f>
        <v>60729.527739999998</v>
      </c>
      <c r="G113" s="26">
        <f>5483.835+228.516-79.99065</f>
        <v>5632.3603499999999</v>
      </c>
      <c r="H113" s="24">
        <f>7153.4679+159.8+126.7+17.5</f>
        <v>7457.4678999999996</v>
      </c>
      <c r="I113" s="24">
        <f>7736.037-0.85151</f>
        <v>7735.1854899999998</v>
      </c>
      <c r="J113" s="24">
        <f>8951.221</f>
        <v>8951.2209999999995</v>
      </c>
      <c r="K113" s="24">
        <v>10652.495999999999</v>
      </c>
      <c r="L113" s="24">
        <v>9880.2759999999998</v>
      </c>
      <c r="M113" s="24">
        <v>10420.521000000001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41"/>
      <c r="AS113" s="42"/>
      <c r="AT113" s="42"/>
      <c r="AU113" s="42"/>
      <c r="AV113" s="42"/>
      <c r="AW113" s="42"/>
      <c r="AX113" s="42"/>
      <c r="AY113" s="42"/>
      <c r="AZ113" s="47"/>
      <c r="BA113" s="48"/>
    </row>
    <row r="114" spans="1:53" s="6" customFormat="1" ht="21.75" customHeight="1">
      <c r="A114" s="110"/>
      <c r="B114" s="126"/>
      <c r="C114" s="107"/>
      <c r="D114" s="157"/>
      <c r="E114" s="53" t="s">
        <v>73</v>
      </c>
      <c r="F114" s="22">
        <f t="shared" si="32"/>
        <v>0</v>
      </c>
      <c r="G114" s="24">
        <v>0</v>
      </c>
      <c r="H114" s="27">
        <v>0</v>
      </c>
      <c r="I114" s="24">
        <v>0</v>
      </c>
      <c r="J114" s="24">
        <v>0</v>
      </c>
      <c r="K114" s="24">
        <v>0</v>
      </c>
      <c r="L114" s="24">
        <v>0</v>
      </c>
      <c r="M114" s="24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57"/>
      <c r="AS114" s="58"/>
      <c r="AT114" s="58"/>
      <c r="AU114" s="58"/>
      <c r="AV114" s="58"/>
      <c r="AW114" s="58"/>
      <c r="AX114" s="58"/>
      <c r="AY114" s="58"/>
      <c r="AZ114" s="59"/>
      <c r="BA114" s="60"/>
    </row>
    <row r="115" spans="1:53" s="6" customFormat="1" ht="21.75" customHeight="1">
      <c r="A115" s="116" t="s">
        <v>123</v>
      </c>
      <c r="B115" s="124" t="s">
        <v>124</v>
      </c>
      <c r="C115" s="105" t="s">
        <v>125</v>
      </c>
      <c r="D115" s="113" t="s">
        <v>126</v>
      </c>
      <c r="E115" s="53" t="s">
        <v>68</v>
      </c>
      <c r="F115" s="22">
        <f>G115+H115+I115+J115+K115+L115+M115</f>
        <v>583</v>
      </c>
      <c r="G115" s="54">
        <f t="shared" ref="G115:H115" si="44">SUM(G116:G120)</f>
        <v>207</v>
      </c>
      <c r="H115" s="54">
        <f t="shared" si="44"/>
        <v>376</v>
      </c>
      <c r="I115" s="54">
        <f t="shared" ref="I115:J115" si="45">SUM(I116:I120)</f>
        <v>0</v>
      </c>
      <c r="J115" s="54">
        <f t="shared" si="45"/>
        <v>0</v>
      </c>
      <c r="K115" s="54">
        <f t="shared" ref="K115:M115" si="46">SUM(K116:K120)</f>
        <v>0</v>
      </c>
      <c r="L115" s="54">
        <f t="shared" si="46"/>
        <v>0</v>
      </c>
      <c r="M115" s="54">
        <f t="shared" si="46"/>
        <v>0</v>
      </c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57"/>
      <c r="AS115" s="58"/>
      <c r="AT115" s="58"/>
      <c r="AU115" s="58"/>
      <c r="AV115" s="58"/>
      <c r="AW115" s="58"/>
      <c r="AX115" s="58"/>
      <c r="AY115" s="58"/>
      <c r="AZ115" s="59"/>
      <c r="BA115" s="60"/>
    </row>
    <row r="116" spans="1:53" s="6" customFormat="1" ht="21.75" customHeight="1">
      <c r="A116" s="109"/>
      <c r="B116" s="125"/>
      <c r="C116" s="106"/>
      <c r="D116" s="156"/>
      <c r="E116" s="53" t="s">
        <v>69</v>
      </c>
      <c r="F116" s="22">
        <f t="shared" ref="F116:F146" si="47">G116+H116+I116+J116+K116+L116</f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57"/>
      <c r="AS116" s="58"/>
      <c r="AT116" s="58"/>
      <c r="AU116" s="58"/>
      <c r="AV116" s="58"/>
      <c r="AW116" s="58"/>
      <c r="AX116" s="58"/>
      <c r="AY116" s="58"/>
      <c r="AZ116" s="59"/>
      <c r="BA116" s="60"/>
    </row>
    <row r="117" spans="1:53" s="6" customFormat="1" ht="27" customHeight="1">
      <c r="A117" s="109"/>
      <c r="B117" s="125"/>
      <c r="C117" s="106"/>
      <c r="D117" s="156"/>
      <c r="E117" s="21" t="s">
        <v>70</v>
      </c>
      <c r="F117" s="22">
        <f t="shared" si="47"/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57"/>
      <c r="AS117" s="58"/>
      <c r="AT117" s="58"/>
      <c r="AU117" s="58"/>
      <c r="AV117" s="58"/>
      <c r="AW117" s="58"/>
      <c r="AX117" s="58"/>
      <c r="AY117" s="58"/>
      <c r="AZ117" s="59"/>
      <c r="BA117" s="60"/>
    </row>
    <row r="118" spans="1:53" s="6" customFormat="1" ht="21.75" customHeight="1">
      <c r="A118" s="109"/>
      <c r="B118" s="125"/>
      <c r="C118" s="106"/>
      <c r="D118" s="156"/>
      <c r="E118" s="53" t="s">
        <v>71</v>
      </c>
      <c r="F118" s="22">
        <f t="shared" si="47"/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57"/>
      <c r="AS118" s="58"/>
      <c r="AT118" s="58"/>
      <c r="AU118" s="58"/>
      <c r="AV118" s="58"/>
      <c r="AW118" s="58"/>
      <c r="AX118" s="58"/>
      <c r="AY118" s="58"/>
      <c r="AZ118" s="59"/>
      <c r="BA118" s="60"/>
    </row>
    <row r="119" spans="1:53" s="6" customFormat="1" ht="21.75" customHeight="1">
      <c r="A119" s="109"/>
      <c r="B119" s="125"/>
      <c r="C119" s="106"/>
      <c r="D119" s="156"/>
      <c r="E119" s="53" t="s">
        <v>72</v>
      </c>
      <c r="F119" s="22">
        <f>G119+H119+I119+J119+K119+L119+M119</f>
        <v>583</v>
      </c>
      <c r="G119" s="26">
        <f>458.215-251.215</f>
        <v>207</v>
      </c>
      <c r="H119" s="24">
        <f>280+84+12</f>
        <v>376</v>
      </c>
      <c r="I119" s="24"/>
      <c r="J119" s="24">
        <v>0</v>
      </c>
      <c r="K119" s="24">
        <v>0</v>
      </c>
      <c r="L119" s="24">
        <v>0</v>
      </c>
      <c r="M119" s="24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57"/>
      <c r="AS119" s="58"/>
      <c r="AT119" s="58"/>
      <c r="AU119" s="58"/>
      <c r="AV119" s="58"/>
      <c r="AW119" s="58"/>
      <c r="AX119" s="58"/>
      <c r="AY119" s="58"/>
      <c r="AZ119" s="59"/>
      <c r="BA119" s="60"/>
    </row>
    <row r="120" spans="1:53" s="6" customFormat="1" ht="21.75" customHeight="1">
      <c r="A120" s="110"/>
      <c r="B120" s="126"/>
      <c r="C120" s="107"/>
      <c r="D120" s="157"/>
      <c r="E120" s="53" t="s">
        <v>73</v>
      </c>
      <c r="F120" s="22">
        <f t="shared" si="47"/>
        <v>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57"/>
      <c r="AS120" s="58"/>
      <c r="AT120" s="58"/>
      <c r="AU120" s="58"/>
      <c r="AV120" s="58"/>
      <c r="AW120" s="58"/>
      <c r="AX120" s="58"/>
      <c r="AY120" s="58"/>
      <c r="AZ120" s="59"/>
      <c r="BA120" s="60"/>
    </row>
    <row r="121" spans="1:53" s="6" customFormat="1" ht="21.75" customHeight="1">
      <c r="A121" s="117" t="s">
        <v>127</v>
      </c>
      <c r="B121" s="124" t="s">
        <v>128</v>
      </c>
      <c r="C121" s="150" t="s">
        <v>129</v>
      </c>
      <c r="D121" s="113" t="s">
        <v>122</v>
      </c>
      <c r="E121" s="53" t="s">
        <v>68</v>
      </c>
      <c r="F121" s="22">
        <f>G121+H121+I121+J121+K121+L121+M121</f>
        <v>1859.3913</v>
      </c>
      <c r="G121" s="54">
        <f t="shared" ref="G121:H121" si="48">SUM(G122:G126)</f>
        <v>0</v>
      </c>
      <c r="H121" s="54">
        <f t="shared" si="48"/>
        <v>0</v>
      </c>
      <c r="I121" s="54">
        <f t="shared" ref="I121:M121" si="49">SUM(I122:I126)</f>
        <v>882.88288</v>
      </c>
      <c r="J121" s="54">
        <f t="shared" si="49"/>
        <v>0</v>
      </c>
      <c r="K121" s="54">
        <f t="shared" si="49"/>
        <v>976.50842</v>
      </c>
      <c r="L121" s="54">
        <f t="shared" si="49"/>
        <v>0</v>
      </c>
      <c r="M121" s="54">
        <f t="shared" si="49"/>
        <v>0</v>
      </c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57"/>
      <c r="AS121" s="58"/>
      <c r="AT121" s="58"/>
      <c r="AU121" s="58"/>
      <c r="AV121" s="58"/>
      <c r="AW121" s="58"/>
      <c r="AX121" s="58"/>
      <c r="AY121" s="58"/>
      <c r="AZ121" s="59"/>
      <c r="BA121" s="60"/>
    </row>
    <row r="122" spans="1:53" s="6" customFormat="1" ht="21.75" customHeight="1">
      <c r="A122" s="114"/>
      <c r="B122" s="125"/>
      <c r="C122" s="151"/>
      <c r="D122" s="156"/>
      <c r="E122" s="53" t="s">
        <v>69</v>
      </c>
      <c r="F122" s="22">
        <f>G122+H122+I122+J122+K122+L122+M122</f>
        <v>1754.9</v>
      </c>
      <c r="G122" s="24">
        <v>0</v>
      </c>
      <c r="H122" s="24">
        <v>0</v>
      </c>
      <c r="I122" s="24">
        <v>837.9</v>
      </c>
      <c r="J122" s="24"/>
      <c r="K122" s="24">
        <v>917</v>
      </c>
      <c r="L122" s="24">
        <v>0</v>
      </c>
      <c r="M122" s="24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57"/>
      <c r="AS122" s="58"/>
      <c r="AT122" s="58"/>
      <c r="AU122" s="58"/>
      <c r="AV122" s="58"/>
      <c r="AW122" s="58"/>
      <c r="AX122" s="58"/>
      <c r="AY122" s="58"/>
      <c r="AZ122" s="59"/>
      <c r="BA122" s="60"/>
    </row>
    <row r="123" spans="1:53" s="6" customFormat="1" ht="27.75" customHeight="1">
      <c r="A123" s="114"/>
      <c r="B123" s="125"/>
      <c r="C123" s="151"/>
      <c r="D123" s="156"/>
      <c r="E123" s="21" t="s">
        <v>70</v>
      </c>
      <c r="F123" s="22">
        <f t="shared" si="47"/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57"/>
      <c r="AS123" s="58"/>
      <c r="AT123" s="58"/>
      <c r="AU123" s="58"/>
      <c r="AV123" s="58"/>
      <c r="AW123" s="58"/>
      <c r="AX123" s="58"/>
      <c r="AY123" s="58"/>
      <c r="AZ123" s="59"/>
      <c r="BA123" s="60"/>
    </row>
    <row r="124" spans="1:53" s="6" customFormat="1" ht="21.75" customHeight="1">
      <c r="A124" s="114"/>
      <c r="B124" s="125"/>
      <c r="C124" s="151"/>
      <c r="D124" s="156"/>
      <c r="E124" s="53" t="s">
        <v>71</v>
      </c>
      <c r="F124" s="22">
        <f>G124+H124+I124+J124+K124+L124+M124</f>
        <v>102.63191</v>
      </c>
      <c r="G124" s="24">
        <v>0</v>
      </c>
      <c r="H124" s="24">
        <v>0</v>
      </c>
      <c r="I124" s="24">
        <v>44.1</v>
      </c>
      <c r="J124" s="24"/>
      <c r="K124" s="24">
        <v>58.531910000000003</v>
      </c>
      <c r="L124" s="24">
        <v>0</v>
      </c>
      <c r="M124" s="24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57"/>
      <c r="AS124" s="58"/>
      <c r="AT124" s="58"/>
      <c r="AU124" s="58"/>
      <c r="AV124" s="58"/>
      <c r="AW124" s="58"/>
      <c r="AX124" s="58"/>
      <c r="AY124" s="58"/>
      <c r="AZ124" s="59"/>
      <c r="BA124" s="60"/>
    </row>
    <row r="125" spans="1:53" s="6" customFormat="1" ht="21.75" customHeight="1">
      <c r="A125" s="114"/>
      <c r="B125" s="125"/>
      <c r="C125" s="151"/>
      <c r="D125" s="156"/>
      <c r="E125" s="53" t="s">
        <v>72</v>
      </c>
      <c r="F125" s="22">
        <f>G125+H125+I125+J125+K125+L125+M125</f>
        <v>1.8593900000000001</v>
      </c>
      <c r="G125" s="24">
        <v>0</v>
      </c>
      <c r="H125" s="26">
        <v>0</v>
      </c>
      <c r="I125" s="24">
        <v>0.88288</v>
      </c>
      <c r="J125" s="24"/>
      <c r="K125" s="26">
        <v>0.97650999999999999</v>
      </c>
      <c r="L125" s="24">
        <v>0</v>
      </c>
      <c r="M125" s="24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57"/>
      <c r="AS125" s="58"/>
      <c r="AT125" s="58"/>
      <c r="AU125" s="58"/>
      <c r="AV125" s="58"/>
      <c r="AW125" s="58"/>
      <c r="AX125" s="58"/>
      <c r="AY125" s="58"/>
      <c r="AZ125" s="59"/>
      <c r="BA125" s="60"/>
    </row>
    <row r="126" spans="1:53" s="6" customFormat="1" ht="21.75" customHeight="1">
      <c r="A126" s="115"/>
      <c r="B126" s="126"/>
      <c r="C126" s="152"/>
      <c r="D126" s="157"/>
      <c r="E126" s="53" t="s">
        <v>73</v>
      </c>
      <c r="F126" s="22">
        <f t="shared" si="47"/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57"/>
      <c r="AS126" s="58"/>
      <c r="AT126" s="58"/>
      <c r="AU126" s="58"/>
      <c r="AV126" s="58"/>
      <c r="AW126" s="58"/>
      <c r="AX126" s="58"/>
      <c r="AY126" s="58"/>
      <c r="AZ126" s="59"/>
      <c r="BA126" s="60"/>
    </row>
    <row r="127" spans="1:53" s="3" customFormat="1" ht="21.75" customHeight="1">
      <c r="A127" s="118" t="s">
        <v>130</v>
      </c>
      <c r="B127" s="118" t="s">
        <v>131</v>
      </c>
      <c r="C127" s="105" t="s">
        <v>66</v>
      </c>
      <c r="D127" s="118" t="s">
        <v>107</v>
      </c>
      <c r="E127" s="55" t="s">
        <v>68</v>
      </c>
      <c r="F127" s="22">
        <f>G127+H127+I127+J127+K127+L127+M127</f>
        <v>553658.11797000002</v>
      </c>
      <c r="G127" s="23">
        <f>G133+G139+G145+G151+G163+G169+G175+G181+G187+G193</f>
        <v>62561.963920000002</v>
      </c>
      <c r="H127" s="23">
        <f t="shared" ref="H127:M127" si="50">H133+H139+H145+H151+H163+H169+H175+H181+H187+H193</f>
        <v>74257.347370000003</v>
      </c>
      <c r="I127" s="23">
        <f t="shared" si="50"/>
        <v>73908.138609999995</v>
      </c>
      <c r="J127" s="23">
        <f t="shared" si="50"/>
        <v>84141.41068999999</v>
      </c>
      <c r="K127" s="35">
        <f>K133+K199+K139+K145+K151+K163+K169+K175+K181+K187+K193</f>
        <v>92716.413379999998</v>
      </c>
      <c r="L127" s="35">
        <f t="shared" si="50"/>
        <v>80862.058000000005</v>
      </c>
      <c r="M127" s="35">
        <f t="shared" si="50"/>
        <v>85210.785999999993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41"/>
      <c r="AS127" s="42"/>
      <c r="AT127" s="42"/>
      <c r="AU127" s="42"/>
      <c r="AV127" s="42"/>
      <c r="AW127" s="42"/>
      <c r="AX127" s="42"/>
      <c r="AY127" s="42"/>
      <c r="AZ127" s="47"/>
      <c r="BA127" s="48"/>
    </row>
    <row r="128" spans="1:53" s="3" customFormat="1" ht="21.75" customHeight="1">
      <c r="A128" s="119"/>
      <c r="B128" s="119"/>
      <c r="C128" s="106"/>
      <c r="D128" s="119"/>
      <c r="E128" s="55" t="s">
        <v>69</v>
      </c>
      <c r="F128" s="22">
        <f>G128+H128+I128+J128+K128+L128+M128</f>
        <v>15727.6857</v>
      </c>
      <c r="G128" s="23">
        <f>G134+G140+G146+G152+G164+G170+G176+G182</f>
        <v>335.34931</v>
      </c>
      <c r="H128" s="23">
        <f>H134+H140+H146+H152+H164+H170+H176+H182+H188+H194</f>
        <v>5342.30332</v>
      </c>
      <c r="I128" s="23">
        <f>I164+I170+I176+I134+I140+I146+I152+I182+I188+I194</f>
        <v>305.15024</v>
      </c>
      <c r="J128" s="23">
        <f>J134+J140+J146+J152++J164+J170+J176+J182+J188+J194</f>
        <v>306.07243999999997</v>
      </c>
      <c r="K128" s="35">
        <f>K134+K140+K146+K152+K164+K170+K176+K182+K194+K200</f>
        <v>9438.8103900000006</v>
      </c>
      <c r="L128" s="35">
        <f>L134+L140+L146+L152+L164+L170+L176+L182+L188+L194</f>
        <v>0</v>
      </c>
      <c r="M128" s="35">
        <f>M134+M140+M146+M152+M164+M170+M176+M182+M188+M194</f>
        <v>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41"/>
      <c r="AS128" s="42"/>
      <c r="AT128" s="42"/>
      <c r="AU128" s="42"/>
      <c r="AV128" s="42"/>
      <c r="AW128" s="42"/>
      <c r="AX128" s="42"/>
      <c r="AY128" s="42"/>
      <c r="AZ128" s="47"/>
      <c r="BA128" s="48"/>
    </row>
    <row r="129" spans="1:53" s="3" customFormat="1" ht="28.5" customHeight="1">
      <c r="A129" s="119"/>
      <c r="B129" s="119"/>
      <c r="C129" s="106"/>
      <c r="D129" s="119"/>
      <c r="E129" s="21" t="s">
        <v>70</v>
      </c>
      <c r="F129" s="22">
        <f t="shared" si="47"/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41"/>
      <c r="AS129" s="42"/>
      <c r="AT129" s="42"/>
      <c r="AU129" s="42"/>
      <c r="AV129" s="42"/>
      <c r="AW129" s="42"/>
      <c r="AX129" s="42"/>
      <c r="AY129" s="42"/>
      <c r="AZ129" s="47"/>
      <c r="BA129" s="48"/>
    </row>
    <row r="130" spans="1:53" s="3" customFormat="1" ht="21.75" customHeight="1">
      <c r="A130" s="119"/>
      <c r="B130" s="119"/>
      <c r="C130" s="106"/>
      <c r="D130" s="119"/>
      <c r="E130" s="55" t="s">
        <v>71</v>
      </c>
      <c r="F130" s="22">
        <f>G130+H130+I130+J130+K130+L130+M130</f>
        <v>182.98204000000001</v>
      </c>
      <c r="G130" s="23">
        <f>G136+G142+G148+G154+G166+G172+G178+G184</f>
        <v>17.64996</v>
      </c>
      <c r="H130" s="23">
        <f>H136+H142+H148+H154+H166+H172+H178+H184+H190+H196</f>
        <v>18.01596</v>
      </c>
      <c r="I130" s="23">
        <f>I166+I172+I178+I136+I184</f>
        <v>16.06054</v>
      </c>
      <c r="J130" s="23">
        <f>J136+J142+J148+J154+J166+J172+J178+J184+J190+J196</f>
        <v>16.109079999999999</v>
      </c>
      <c r="K130" s="35">
        <f>K136+K142+K154+K166+K172+K178+K184+K190+K196+K202</f>
        <v>115.1465</v>
      </c>
      <c r="L130" s="35">
        <f>L136+L142+L148+L154+L166+L172+L178+L184+L190+L196</f>
        <v>0</v>
      </c>
      <c r="M130" s="35">
        <f>M136+M142+M148+M154+M166+M172+M178+M184+M190+M196</f>
        <v>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41"/>
      <c r="AS130" s="42"/>
      <c r="AT130" s="42"/>
      <c r="AU130" s="42"/>
      <c r="AV130" s="42"/>
      <c r="AW130" s="42"/>
      <c r="AX130" s="42"/>
      <c r="AY130" s="42"/>
      <c r="AZ130" s="47"/>
      <c r="BA130" s="48"/>
    </row>
    <row r="131" spans="1:53" s="3" customFormat="1" ht="21.75" customHeight="1">
      <c r="A131" s="119"/>
      <c r="B131" s="119"/>
      <c r="C131" s="106"/>
      <c r="D131" s="119"/>
      <c r="E131" s="55" t="s">
        <v>72</v>
      </c>
      <c r="F131" s="22">
        <f>G131+H131+I131+J131+K131+L131+M131</f>
        <v>537747.45023000007</v>
      </c>
      <c r="G131" s="23">
        <f>G137+G143+G149+G155+G167+G173+G179+G185+G191+G197</f>
        <v>62208.964650000002</v>
      </c>
      <c r="H131" s="23">
        <f>H137+H143+H149+H155+H167+H173+H179+H185+H191+H197</f>
        <v>68897.028090000007</v>
      </c>
      <c r="I131" s="23">
        <f>I137+I143+I149+I155+I167+I173+I179+I185+I191</f>
        <v>73586.927830000001</v>
      </c>
      <c r="J131" s="23">
        <f>J137+J143+J149+J155+J167+J173+J179+J185+J191+J197</f>
        <v>83819.229169999991</v>
      </c>
      <c r="K131" s="35">
        <f>K137+K143+K149+K155+K167+K173+K179+K185+K191+K197+K203</f>
        <v>83162.456489999997</v>
      </c>
      <c r="L131" s="35">
        <f>L137+L143+L149+L155+L167+L173+L179+L185+L191+L197</f>
        <v>80862.058000000005</v>
      </c>
      <c r="M131" s="35">
        <f>M137+M143+M149+M155+M167+M173+M179+M185+M191+M197</f>
        <v>85210.785999999993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41"/>
      <c r="AS131" s="42"/>
      <c r="AT131" s="42"/>
      <c r="AU131" s="42"/>
      <c r="AV131" s="42"/>
      <c r="AW131" s="42"/>
      <c r="AX131" s="42"/>
      <c r="AY131" s="42"/>
      <c r="AZ131" s="47"/>
      <c r="BA131" s="48"/>
    </row>
    <row r="132" spans="1:53" s="6" customFormat="1" ht="21.75" customHeight="1">
      <c r="A132" s="120"/>
      <c r="B132" s="120"/>
      <c r="C132" s="107"/>
      <c r="D132" s="120"/>
      <c r="E132" s="55" t="s">
        <v>73</v>
      </c>
      <c r="F132" s="22">
        <f t="shared" si="47"/>
        <v>0</v>
      </c>
      <c r="G132" s="23">
        <f>G138+G144+G150+G156+G168+G174+G180+G186</f>
        <v>0</v>
      </c>
      <c r="H132" s="23">
        <f t="shared" ref="H132:I132" si="51">H168+H174+H180</f>
        <v>0</v>
      </c>
      <c r="I132" s="23">
        <f t="shared" si="51"/>
        <v>0</v>
      </c>
      <c r="J132" s="23">
        <f t="shared" ref="J132:K132" si="52">J168+J174+J180</f>
        <v>0</v>
      </c>
      <c r="K132" s="35">
        <f t="shared" si="52"/>
        <v>0</v>
      </c>
      <c r="L132" s="35">
        <f t="shared" ref="L132:M132" si="53">L168+L174+L180</f>
        <v>0</v>
      </c>
      <c r="M132" s="35">
        <f t="shared" si="53"/>
        <v>0</v>
      </c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57"/>
      <c r="AS132" s="58"/>
      <c r="AT132" s="58"/>
      <c r="AU132" s="58"/>
      <c r="AV132" s="58"/>
      <c r="AW132" s="58"/>
      <c r="AX132" s="58"/>
      <c r="AY132" s="58"/>
      <c r="AZ132" s="59"/>
      <c r="BA132" s="60"/>
    </row>
    <row r="133" spans="1:53" s="3" customFormat="1" ht="21.75" customHeight="1">
      <c r="A133" s="118" t="s">
        <v>132</v>
      </c>
      <c r="B133" s="127" t="s">
        <v>133</v>
      </c>
      <c r="C133" s="105" t="s">
        <v>134</v>
      </c>
      <c r="D133" s="121" t="s">
        <v>135</v>
      </c>
      <c r="E133" s="55" t="s">
        <v>68</v>
      </c>
      <c r="F133" s="22">
        <f>G133+H133+I133+J133+K133+L133+M133</f>
        <v>39837.342499999999</v>
      </c>
      <c r="G133" s="23">
        <f t="shared" ref="G133:M133" si="54">G134+G136+G137+G138</f>
        <v>12376.550999999999</v>
      </c>
      <c r="H133" s="23">
        <f t="shared" si="54"/>
        <v>9479.1474999999991</v>
      </c>
      <c r="I133" s="23">
        <f t="shared" si="54"/>
        <v>8264.33</v>
      </c>
      <c r="J133" s="23">
        <f t="shared" si="54"/>
        <v>6484.8190000000004</v>
      </c>
      <c r="K133" s="35">
        <f t="shared" si="54"/>
        <v>3232.4949999999999</v>
      </c>
      <c r="L133" s="35">
        <f t="shared" si="54"/>
        <v>0</v>
      </c>
      <c r="M133" s="35">
        <f t="shared" si="54"/>
        <v>0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41"/>
      <c r="AS133" s="42"/>
      <c r="AT133" s="42"/>
      <c r="AU133" s="42"/>
      <c r="AV133" s="42"/>
      <c r="AW133" s="42"/>
      <c r="AX133" s="42"/>
      <c r="AY133" s="42"/>
      <c r="AZ133" s="47"/>
      <c r="BA133" s="48"/>
    </row>
    <row r="134" spans="1:53" s="3" customFormat="1" ht="21.75" customHeight="1">
      <c r="A134" s="119"/>
      <c r="B134" s="128"/>
      <c r="C134" s="106"/>
      <c r="D134" s="158"/>
      <c r="E134" s="55" t="s">
        <v>69</v>
      </c>
      <c r="F134" s="22">
        <f t="shared" si="47"/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41"/>
      <c r="AS134" s="42"/>
      <c r="AT134" s="42"/>
      <c r="AU134" s="42"/>
      <c r="AV134" s="42"/>
      <c r="AW134" s="42"/>
      <c r="AX134" s="42"/>
      <c r="AY134" s="42"/>
      <c r="AZ134" s="47"/>
      <c r="BA134" s="48"/>
    </row>
    <row r="135" spans="1:53" s="3" customFormat="1" ht="27" customHeight="1">
      <c r="A135" s="119"/>
      <c r="B135" s="128"/>
      <c r="C135" s="106"/>
      <c r="D135" s="158"/>
      <c r="E135" s="21" t="s">
        <v>70</v>
      </c>
      <c r="F135" s="22">
        <f t="shared" si="47"/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41"/>
      <c r="AS135" s="42"/>
      <c r="AT135" s="42"/>
      <c r="AU135" s="42"/>
      <c r="AV135" s="42"/>
      <c r="AW135" s="42"/>
      <c r="AX135" s="42"/>
      <c r="AY135" s="42"/>
      <c r="AZ135" s="47"/>
      <c r="BA135" s="48"/>
    </row>
    <row r="136" spans="1:53" s="3" customFormat="1" ht="21.75" customHeight="1">
      <c r="A136" s="119"/>
      <c r="B136" s="128"/>
      <c r="C136" s="106"/>
      <c r="D136" s="158"/>
      <c r="E136" s="55" t="s">
        <v>71</v>
      </c>
      <c r="F136" s="22">
        <f t="shared" si="47"/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41"/>
      <c r="AS136" s="42"/>
      <c r="AT136" s="42"/>
      <c r="AU136" s="42"/>
      <c r="AV136" s="42"/>
      <c r="AW136" s="42"/>
      <c r="AX136" s="42"/>
      <c r="AY136" s="42"/>
      <c r="AZ136" s="47"/>
      <c r="BA136" s="48"/>
    </row>
    <row r="137" spans="1:53" s="3" customFormat="1" ht="21.75" customHeight="1">
      <c r="A137" s="119"/>
      <c r="B137" s="128"/>
      <c r="C137" s="106"/>
      <c r="D137" s="158"/>
      <c r="E137" s="55" t="s">
        <v>72</v>
      </c>
      <c r="F137" s="22">
        <f>G137+H137+I137+J137+K137+L137+M137</f>
        <v>39837.342499999999</v>
      </c>
      <c r="G137" s="26">
        <v>12376.550999999999</v>
      </c>
      <c r="H137" s="24">
        <f>9479.1475</f>
        <v>9479.1474999999991</v>
      </c>
      <c r="I137" s="26">
        <f>8264.33</f>
        <v>8264.33</v>
      </c>
      <c r="J137" s="26">
        <f>2895.106+1986.993+1590+12.72</f>
        <v>6484.8190000000004</v>
      </c>
      <c r="K137" s="26">
        <v>3232.4949999999999</v>
      </c>
      <c r="L137" s="24"/>
      <c r="M137" s="2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41"/>
      <c r="AS137" s="42"/>
      <c r="AT137" s="42"/>
      <c r="AU137" s="42"/>
      <c r="AV137" s="42"/>
      <c r="AW137" s="42"/>
      <c r="AX137" s="42"/>
      <c r="AY137" s="42"/>
      <c r="AZ137" s="47"/>
      <c r="BA137" s="48"/>
    </row>
    <row r="138" spans="1:53" s="6" customFormat="1" ht="39.75" customHeight="1">
      <c r="A138" s="120"/>
      <c r="B138" s="129"/>
      <c r="C138" s="107"/>
      <c r="D138" s="159"/>
      <c r="E138" s="55" t="s">
        <v>73</v>
      </c>
      <c r="F138" s="22">
        <f t="shared" si="47"/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57"/>
      <c r="AS138" s="58"/>
      <c r="AT138" s="58"/>
      <c r="AU138" s="58"/>
      <c r="AV138" s="58"/>
      <c r="AW138" s="58"/>
      <c r="AX138" s="58"/>
      <c r="AY138" s="58"/>
      <c r="AZ138" s="59"/>
      <c r="BA138" s="60"/>
    </row>
    <row r="139" spans="1:53" s="3" customFormat="1" ht="21.75" customHeight="1">
      <c r="A139" s="118" t="s">
        <v>136</v>
      </c>
      <c r="B139" s="130" t="s">
        <v>137</v>
      </c>
      <c r="C139" s="105" t="s">
        <v>138</v>
      </c>
      <c r="D139" s="121" t="s">
        <v>139</v>
      </c>
      <c r="E139" s="55" t="s">
        <v>68</v>
      </c>
      <c r="F139" s="22">
        <f>G139+H139+I139+J139+K139+L139+M139</f>
        <v>1681.75091</v>
      </c>
      <c r="G139" s="23">
        <f t="shared" ref="G139:M139" si="55">G140+G142+G143+G144</f>
        <v>713</v>
      </c>
      <c r="H139" s="23">
        <f t="shared" si="55"/>
        <v>276.60091</v>
      </c>
      <c r="I139" s="23">
        <f t="shared" si="55"/>
        <v>202.15</v>
      </c>
      <c r="J139" s="23">
        <f t="shared" si="55"/>
        <v>214.4</v>
      </c>
      <c r="K139" s="35">
        <f t="shared" si="55"/>
        <v>137.80000000000001</v>
      </c>
      <c r="L139" s="35">
        <f t="shared" si="55"/>
        <v>137.80000000000001</v>
      </c>
      <c r="M139" s="35">
        <f t="shared" si="55"/>
        <v>0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41"/>
      <c r="AS139" s="42"/>
      <c r="AT139" s="42"/>
      <c r="AU139" s="42"/>
      <c r="AV139" s="42"/>
      <c r="AW139" s="42"/>
      <c r="AX139" s="42"/>
      <c r="AY139" s="42"/>
      <c r="AZ139" s="47"/>
      <c r="BA139" s="48"/>
    </row>
    <row r="140" spans="1:53" s="3" customFormat="1" ht="21.75" customHeight="1">
      <c r="A140" s="119"/>
      <c r="B140" s="131"/>
      <c r="C140" s="106"/>
      <c r="D140" s="158"/>
      <c r="E140" s="55" t="s">
        <v>69</v>
      </c>
      <c r="F140" s="22">
        <f t="shared" si="47"/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41"/>
      <c r="AS140" s="42"/>
      <c r="AT140" s="42"/>
      <c r="AU140" s="42"/>
      <c r="AV140" s="42"/>
      <c r="AW140" s="42"/>
      <c r="AX140" s="42"/>
      <c r="AY140" s="42"/>
      <c r="AZ140" s="47"/>
      <c r="BA140" s="48"/>
    </row>
    <row r="141" spans="1:53" s="3" customFormat="1" ht="28.5" customHeight="1">
      <c r="A141" s="119"/>
      <c r="B141" s="131"/>
      <c r="C141" s="106"/>
      <c r="D141" s="158"/>
      <c r="E141" s="21" t="s">
        <v>70</v>
      </c>
      <c r="F141" s="22">
        <f t="shared" si="47"/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41"/>
      <c r="AS141" s="42"/>
      <c r="AT141" s="42"/>
      <c r="AU141" s="42"/>
      <c r="AV141" s="42"/>
      <c r="AW141" s="42"/>
      <c r="AX141" s="42"/>
      <c r="AY141" s="42"/>
      <c r="AZ141" s="47"/>
      <c r="BA141" s="48"/>
    </row>
    <row r="142" spans="1:53" s="3" customFormat="1" ht="21.75" customHeight="1">
      <c r="A142" s="119"/>
      <c r="B142" s="131"/>
      <c r="C142" s="106"/>
      <c r="D142" s="158"/>
      <c r="E142" s="55" t="s">
        <v>71</v>
      </c>
      <c r="F142" s="22">
        <f t="shared" si="47"/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41"/>
      <c r="AS142" s="42"/>
      <c r="AT142" s="42"/>
      <c r="AU142" s="42"/>
      <c r="AV142" s="42"/>
      <c r="AW142" s="42"/>
      <c r="AX142" s="42"/>
      <c r="AY142" s="42"/>
      <c r="AZ142" s="47"/>
      <c r="BA142" s="48"/>
    </row>
    <row r="143" spans="1:53" s="3" customFormat="1" ht="21.75" customHeight="1">
      <c r="A143" s="119"/>
      <c r="B143" s="131"/>
      <c r="C143" s="106"/>
      <c r="D143" s="158"/>
      <c r="E143" s="55" t="s">
        <v>72</v>
      </c>
      <c r="F143" s="22">
        <f>G143+H143+I143+J143+K143+L143+M143</f>
        <v>1681.75091</v>
      </c>
      <c r="G143" s="24">
        <v>713</v>
      </c>
      <c r="H143" s="26">
        <f>276.60091</f>
        <v>276.60091</v>
      </c>
      <c r="I143" s="24">
        <f>202.15</f>
        <v>202.15</v>
      </c>
      <c r="J143" s="24">
        <f>241.6-27.2</f>
        <v>214.4</v>
      </c>
      <c r="K143" s="24">
        <v>137.80000000000001</v>
      </c>
      <c r="L143" s="24">
        <v>137.80000000000001</v>
      </c>
      <c r="M143" s="2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41"/>
      <c r="AS143" s="42"/>
      <c r="AT143" s="42"/>
      <c r="AU143" s="42"/>
      <c r="AV143" s="42"/>
      <c r="AW143" s="42"/>
      <c r="AX143" s="42"/>
      <c r="AY143" s="42"/>
      <c r="AZ143" s="47"/>
      <c r="BA143" s="48"/>
    </row>
    <row r="144" spans="1:53" s="6" customFormat="1" ht="27.75" customHeight="1">
      <c r="A144" s="120"/>
      <c r="B144" s="132"/>
      <c r="C144" s="107"/>
      <c r="D144" s="159"/>
      <c r="E144" s="55" t="s">
        <v>73</v>
      </c>
      <c r="F144" s="22">
        <f t="shared" si="47"/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57"/>
      <c r="AS144" s="58"/>
      <c r="AT144" s="58"/>
      <c r="AU144" s="58"/>
      <c r="AV144" s="58"/>
      <c r="AW144" s="58"/>
      <c r="AX144" s="58"/>
      <c r="AY144" s="58"/>
      <c r="AZ144" s="59"/>
      <c r="BA144" s="60"/>
    </row>
    <row r="145" spans="1:53" s="3" customFormat="1" ht="21.75" customHeight="1">
      <c r="A145" s="118" t="s">
        <v>140</v>
      </c>
      <c r="B145" s="130" t="s">
        <v>141</v>
      </c>
      <c r="C145" s="105" t="s">
        <v>142</v>
      </c>
      <c r="D145" s="121" t="s">
        <v>143</v>
      </c>
      <c r="E145" s="55" t="s">
        <v>68</v>
      </c>
      <c r="F145" s="22">
        <f>G145+H145+I145+J145+K145+L145+M145</f>
        <v>1470</v>
      </c>
      <c r="G145" s="23">
        <f>G146+G148+G149+G150</f>
        <v>0</v>
      </c>
      <c r="H145" s="23">
        <f>H146+H148+H149+H150</f>
        <v>0</v>
      </c>
      <c r="I145" s="23">
        <f>I146+I148+I149+I150</f>
        <v>870</v>
      </c>
      <c r="J145" s="23">
        <f>J146+J148+J149+J150</f>
        <v>300</v>
      </c>
      <c r="K145" s="23">
        <f t="shared" ref="K145:M145" si="56">K146+K148+K149+K150</f>
        <v>300</v>
      </c>
      <c r="L145" s="23">
        <f t="shared" si="56"/>
        <v>0</v>
      </c>
      <c r="M145" s="23">
        <f t="shared" si="56"/>
        <v>0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41"/>
      <c r="AS145" s="42"/>
      <c r="AT145" s="42"/>
      <c r="AU145" s="42"/>
      <c r="AV145" s="42"/>
      <c r="AW145" s="42"/>
      <c r="AX145" s="42"/>
      <c r="AY145" s="42"/>
      <c r="AZ145" s="47"/>
      <c r="BA145" s="48"/>
    </row>
    <row r="146" spans="1:53" s="3" customFormat="1" ht="21.75" customHeight="1">
      <c r="A146" s="119"/>
      <c r="B146" s="131"/>
      <c r="C146" s="106"/>
      <c r="D146" s="158"/>
      <c r="E146" s="55" t="s">
        <v>69</v>
      </c>
      <c r="F146" s="22">
        <f t="shared" si="47"/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41"/>
      <c r="AS146" s="42"/>
      <c r="AT146" s="42"/>
      <c r="AU146" s="42"/>
      <c r="AV146" s="42"/>
      <c r="AW146" s="42"/>
      <c r="AX146" s="42"/>
      <c r="AY146" s="42"/>
      <c r="AZ146" s="47"/>
      <c r="BA146" s="48"/>
    </row>
    <row r="147" spans="1:53" s="3" customFormat="1" ht="28.5" customHeight="1">
      <c r="A147" s="119"/>
      <c r="B147" s="131"/>
      <c r="C147" s="106"/>
      <c r="D147" s="158"/>
      <c r="E147" s="21" t="s">
        <v>70</v>
      </c>
      <c r="F147" s="22">
        <f t="shared" ref="F147:F156" si="57">G147+H147+I147+J147+K147+L147</f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41"/>
      <c r="AS147" s="42"/>
      <c r="AT147" s="42"/>
      <c r="AU147" s="42"/>
      <c r="AV147" s="42"/>
      <c r="AW147" s="42"/>
      <c r="AX147" s="42"/>
      <c r="AY147" s="42"/>
      <c r="AZ147" s="47"/>
      <c r="BA147" s="48"/>
    </row>
    <row r="148" spans="1:53" s="3" customFormat="1" ht="21.75" customHeight="1">
      <c r="A148" s="119"/>
      <c r="B148" s="131"/>
      <c r="C148" s="106"/>
      <c r="D148" s="158"/>
      <c r="E148" s="55" t="s">
        <v>71</v>
      </c>
      <c r="F148" s="22">
        <f t="shared" si="57"/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41"/>
      <c r="AS148" s="42"/>
      <c r="AT148" s="42"/>
      <c r="AU148" s="42"/>
      <c r="AV148" s="42"/>
      <c r="AW148" s="42"/>
      <c r="AX148" s="42"/>
      <c r="AY148" s="42"/>
      <c r="AZ148" s="47"/>
      <c r="BA148" s="48"/>
    </row>
    <row r="149" spans="1:53" s="3" customFormat="1" ht="21.75" customHeight="1">
      <c r="A149" s="119"/>
      <c r="B149" s="131"/>
      <c r="C149" s="106"/>
      <c r="D149" s="158"/>
      <c r="E149" s="55" t="s">
        <v>72</v>
      </c>
      <c r="F149" s="22">
        <f>G149+H149+I149+J149+K149+L149+M149</f>
        <v>1470</v>
      </c>
      <c r="G149" s="26"/>
      <c r="H149" s="24">
        <v>0</v>
      </c>
      <c r="I149" s="24">
        <v>870</v>
      </c>
      <c r="J149" s="24">
        <v>300</v>
      </c>
      <c r="K149" s="24">
        <v>300</v>
      </c>
      <c r="L149" s="24">
        <v>0</v>
      </c>
      <c r="M149" s="2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41"/>
      <c r="AS149" s="42"/>
      <c r="AT149" s="42"/>
      <c r="AU149" s="42"/>
      <c r="AV149" s="42"/>
      <c r="AW149" s="42"/>
      <c r="AX149" s="42"/>
      <c r="AY149" s="42"/>
      <c r="AZ149" s="47"/>
      <c r="BA149" s="48"/>
    </row>
    <row r="150" spans="1:53" s="6" customFormat="1" ht="21.75" customHeight="1">
      <c r="A150" s="120"/>
      <c r="B150" s="132"/>
      <c r="C150" s="107"/>
      <c r="D150" s="159"/>
      <c r="E150" s="55" t="s">
        <v>73</v>
      </c>
      <c r="F150" s="22">
        <f t="shared" si="57"/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57"/>
      <c r="AS150" s="58"/>
      <c r="AT150" s="58"/>
      <c r="AU150" s="58"/>
      <c r="AV150" s="58"/>
      <c r="AW150" s="58"/>
      <c r="AX150" s="58"/>
      <c r="AY150" s="58"/>
      <c r="AZ150" s="59"/>
      <c r="BA150" s="60"/>
    </row>
    <row r="151" spans="1:53" s="3" customFormat="1" ht="21.75" customHeight="1">
      <c r="A151" s="118" t="s">
        <v>144</v>
      </c>
      <c r="B151" s="130" t="s">
        <v>145</v>
      </c>
      <c r="C151" s="105" t="s">
        <v>146</v>
      </c>
      <c r="D151" s="121" t="s">
        <v>147</v>
      </c>
      <c r="E151" s="55" t="s">
        <v>68</v>
      </c>
      <c r="F151" s="22">
        <f>G151+H151+I151+J151+K151+L151+M151</f>
        <v>4078.402</v>
      </c>
      <c r="G151" s="23">
        <f t="shared" ref="G151:M151" si="58">G152+G154+G155+G156</f>
        <v>0</v>
      </c>
      <c r="H151" s="23">
        <f t="shared" si="58"/>
        <v>61.08</v>
      </c>
      <c r="I151" s="23">
        <f t="shared" si="58"/>
        <v>1872.261</v>
      </c>
      <c r="J151" s="23">
        <f t="shared" si="58"/>
        <v>2145.0610000000001</v>
      </c>
      <c r="K151" s="35">
        <f t="shared" si="58"/>
        <v>0</v>
      </c>
      <c r="L151" s="35">
        <f t="shared" si="58"/>
        <v>0</v>
      </c>
      <c r="M151" s="35">
        <f t="shared" si="58"/>
        <v>0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41"/>
      <c r="AS151" s="42"/>
      <c r="AT151" s="42"/>
      <c r="AU151" s="42"/>
      <c r="AV151" s="42"/>
      <c r="AW151" s="42"/>
      <c r="AX151" s="42"/>
      <c r="AY151" s="42"/>
      <c r="AZ151" s="47"/>
      <c r="BA151" s="48"/>
    </row>
    <row r="152" spans="1:53" s="3" customFormat="1" ht="21.75" customHeight="1">
      <c r="A152" s="119"/>
      <c r="B152" s="131"/>
      <c r="C152" s="106"/>
      <c r="D152" s="158"/>
      <c r="E152" s="55" t="s">
        <v>69</v>
      </c>
      <c r="F152" s="22">
        <f t="shared" si="57"/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41"/>
      <c r="AS152" s="42"/>
      <c r="AT152" s="42"/>
      <c r="AU152" s="42"/>
      <c r="AV152" s="42"/>
      <c r="AW152" s="42"/>
      <c r="AX152" s="42"/>
      <c r="AY152" s="42"/>
      <c r="AZ152" s="47"/>
      <c r="BA152" s="48"/>
    </row>
    <row r="153" spans="1:53" s="3" customFormat="1" ht="29.25" customHeight="1">
      <c r="A153" s="119"/>
      <c r="B153" s="131"/>
      <c r="C153" s="106"/>
      <c r="D153" s="158"/>
      <c r="E153" s="21" t="s">
        <v>70</v>
      </c>
      <c r="F153" s="22">
        <f t="shared" si="57"/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41"/>
      <c r="AS153" s="42"/>
      <c r="AT153" s="42"/>
      <c r="AU153" s="42"/>
      <c r="AV153" s="42"/>
      <c r="AW153" s="42"/>
      <c r="AX153" s="42"/>
      <c r="AY153" s="42"/>
      <c r="AZ153" s="47"/>
      <c r="BA153" s="48"/>
    </row>
    <row r="154" spans="1:53" s="3" customFormat="1" ht="21.75" customHeight="1">
      <c r="A154" s="119"/>
      <c r="B154" s="131"/>
      <c r="C154" s="106"/>
      <c r="D154" s="158"/>
      <c r="E154" s="55" t="s">
        <v>71</v>
      </c>
      <c r="F154" s="22">
        <f t="shared" si="57"/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41"/>
      <c r="AS154" s="42"/>
      <c r="AT154" s="42"/>
      <c r="AU154" s="42"/>
      <c r="AV154" s="42"/>
      <c r="AW154" s="42"/>
      <c r="AX154" s="42"/>
      <c r="AY154" s="42"/>
      <c r="AZ154" s="47"/>
      <c r="BA154" s="48"/>
    </row>
    <row r="155" spans="1:53" s="3" customFormat="1" ht="21.75" customHeight="1">
      <c r="A155" s="119"/>
      <c r="B155" s="131"/>
      <c r="C155" s="106"/>
      <c r="D155" s="158"/>
      <c r="E155" s="55" t="s">
        <v>72</v>
      </c>
      <c r="F155" s="22">
        <f>G155+H155+I155+J155+K155+L155+M155</f>
        <v>4078.402</v>
      </c>
      <c r="G155" s="26"/>
      <c r="H155" s="24">
        <v>61.08</v>
      </c>
      <c r="I155" s="26">
        <f>1872.261</f>
        <v>1872.261</v>
      </c>
      <c r="J155" s="26">
        <v>2145.0610000000001</v>
      </c>
      <c r="K155" s="24">
        <v>0</v>
      </c>
      <c r="L155" s="24">
        <v>0</v>
      </c>
      <c r="M155" s="2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41"/>
      <c r="AS155" s="42"/>
      <c r="AT155" s="42"/>
      <c r="AU155" s="42"/>
      <c r="AV155" s="42"/>
      <c r="AW155" s="42"/>
      <c r="AX155" s="42"/>
      <c r="AY155" s="42"/>
      <c r="AZ155" s="47"/>
      <c r="BA155" s="48"/>
    </row>
    <row r="156" spans="1:53" s="6" customFormat="1" ht="18.75" customHeight="1">
      <c r="A156" s="120"/>
      <c r="B156" s="132"/>
      <c r="C156" s="107"/>
      <c r="D156" s="159"/>
      <c r="E156" s="55" t="s">
        <v>73</v>
      </c>
      <c r="F156" s="22">
        <f t="shared" si="57"/>
        <v>0</v>
      </c>
      <c r="G156" s="24">
        <v>0</v>
      </c>
      <c r="H156" s="24">
        <v>0</v>
      </c>
      <c r="I156" s="24">
        <v>0</v>
      </c>
      <c r="J156" s="24"/>
      <c r="K156" s="24">
        <v>0</v>
      </c>
      <c r="L156" s="24">
        <v>0</v>
      </c>
      <c r="M156" s="24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57"/>
      <c r="AS156" s="58"/>
      <c r="AT156" s="58"/>
      <c r="AU156" s="58"/>
      <c r="AV156" s="58"/>
      <c r="AW156" s="58"/>
      <c r="AX156" s="58"/>
      <c r="AY156" s="58"/>
      <c r="AZ156" s="59"/>
      <c r="BA156" s="60"/>
    </row>
    <row r="157" spans="1:53" s="6" customFormat="1" ht="18.75" hidden="1" customHeight="1">
      <c r="A157" s="118" t="s">
        <v>148</v>
      </c>
      <c r="B157" s="130" t="s">
        <v>149</v>
      </c>
      <c r="C157" s="105"/>
      <c r="D157" s="121" t="s">
        <v>150</v>
      </c>
      <c r="E157" s="55" t="s">
        <v>68</v>
      </c>
      <c r="F157" s="22"/>
      <c r="G157" s="24"/>
      <c r="H157" s="24"/>
      <c r="I157" s="24"/>
      <c r="J157" s="24"/>
      <c r="K157" s="24"/>
      <c r="L157" s="24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57"/>
      <c r="AS157" s="58"/>
      <c r="AT157" s="58"/>
      <c r="AU157" s="58"/>
      <c r="AV157" s="58"/>
      <c r="AW157" s="58"/>
      <c r="AX157" s="58"/>
      <c r="AY157" s="58"/>
      <c r="AZ157" s="59"/>
      <c r="BA157" s="60"/>
    </row>
    <row r="158" spans="1:53" s="6" customFormat="1" ht="18.75" hidden="1" customHeight="1">
      <c r="A158" s="119"/>
      <c r="B158" s="131"/>
      <c r="C158" s="106"/>
      <c r="D158" s="158" t="s">
        <v>150</v>
      </c>
      <c r="E158" s="55" t="s">
        <v>69</v>
      </c>
      <c r="F158" s="22"/>
      <c r="G158" s="24"/>
      <c r="H158" s="24"/>
      <c r="I158" s="24"/>
      <c r="J158" s="24"/>
      <c r="K158" s="24"/>
      <c r="L158" s="24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57"/>
      <c r="AS158" s="58"/>
      <c r="AT158" s="58"/>
      <c r="AU158" s="58"/>
      <c r="AV158" s="58"/>
      <c r="AW158" s="58"/>
      <c r="AX158" s="58"/>
      <c r="AY158" s="58"/>
      <c r="AZ158" s="59"/>
      <c r="BA158" s="60"/>
    </row>
    <row r="159" spans="1:53" s="6" customFormat="1" ht="27" hidden="1" customHeight="1">
      <c r="A159" s="119"/>
      <c r="B159" s="131"/>
      <c r="C159" s="106"/>
      <c r="D159" s="158"/>
      <c r="E159" s="21" t="s">
        <v>70</v>
      </c>
      <c r="F159" s="22"/>
      <c r="G159" s="24"/>
      <c r="H159" s="24"/>
      <c r="I159" s="24"/>
      <c r="J159" s="24"/>
      <c r="K159" s="24"/>
      <c r="L159" s="24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57"/>
      <c r="AS159" s="58"/>
      <c r="AT159" s="58"/>
      <c r="AU159" s="58"/>
      <c r="AV159" s="58"/>
      <c r="AW159" s="58"/>
      <c r="AX159" s="58"/>
      <c r="AY159" s="58"/>
      <c r="AZ159" s="59"/>
      <c r="BA159" s="60"/>
    </row>
    <row r="160" spans="1:53" s="6" customFormat="1" ht="18.75" hidden="1" customHeight="1">
      <c r="A160" s="119"/>
      <c r="B160" s="131"/>
      <c r="C160" s="106"/>
      <c r="D160" s="158"/>
      <c r="E160" s="55" t="s">
        <v>71</v>
      </c>
      <c r="F160" s="22"/>
      <c r="G160" s="24"/>
      <c r="H160" s="24"/>
      <c r="I160" s="24"/>
      <c r="J160" s="24"/>
      <c r="K160" s="24"/>
      <c r="L160" s="24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57"/>
      <c r="AS160" s="58"/>
      <c r="AT160" s="58"/>
      <c r="AU160" s="58"/>
      <c r="AV160" s="58"/>
      <c r="AW160" s="58"/>
      <c r="AX160" s="58"/>
      <c r="AY160" s="58"/>
      <c r="AZ160" s="59"/>
      <c r="BA160" s="60"/>
    </row>
    <row r="161" spans="1:53" s="6" customFormat="1" ht="18.75" hidden="1" customHeight="1">
      <c r="A161" s="119"/>
      <c r="B161" s="131"/>
      <c r="C161" s="106"/>
      <c r="D161" s="158"/>
      <c r="E161" s="55" t="s">
        <v>72</v>
      </c>
      <c r="F161" s="22"/>
      <c r="G161" s="24"/>
      <c r="H161" s="24"/>
      <c r="I161" s="24"/>
      <c r="J161" s="24"/>
      <c r="K161" s="24"/>
      <c r="L161" s="24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57"/>
      <c r="AS161" s="58"/>
      <c r="AT161" s="58"/>
      <c r="AU161" s="58"/>
      <c r="AV161" s="58"/>
      <c r="AW161" s="58"/>
      <c r="AX161" s="58"/>
      <c r="AY161" s="58"/>
      <c r="AZ161" s="59"/>
      <c r="BA161" s="60"/>
    </row>
    <row r="162" spans="1:53" s="6" customFormat="1" ht="18.75" hidden="1" customHeight="1">
      <c r="A162" s="120"/>
      <c r="B162" s="132"/>
      <c r="C162" s="107"/>
      <c r="D162" s="159"/>
      <c r="E162" s="55" t="s">
        <v>73</v>
      </c>
      <c r="F162" s="22"/>
      <c r="G162" s="24"/>
      <c r="H162" s="24"/>
      <c r="I162" s="24"/>
      <c r="J162" s="24"/>
      <c r="K162" s="24"/>
      <c r="L162" s="24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57"/>
      <c r="AS162" s="58"/>
      <c r="AT162" s="58"/>
      <c r="AU162" s="58"/>
      <c r="AV162" s="58"/>
      <c r="AW162" s="58"/>
      <c r="AX162" s="58"/>
      <c r="AY162" s="58"/>
      <c r="AZ162" s="59"/>
      <c r="BA162" s="60"/>
    </row>
    <row r="163" spans="1:53" s="3" customFormat="1" ht="21.75" customHeight="1">
      <c r="A163" s="118" t="s">
        <v>148</v>
      </c>
      <c r="B163" s="133" t="s">
        <v>151</v>
      </c>
      <c r="C163" s="105" t="s">
        <v>66</v>
      </c>
      <c r="D163" s="121" t="s">
        <v>152</v>
      </c>
      <c r="E163" s="55" t="s">
        <v>68</v>
      </c>
      <c r="F163" s="22">
        <f>G163+H163+I163+J163+K163+L163+M163</f>
        <v>172251.11499999999</v>
      </c>
      <c r="G163" s="23">
        <f t="shared" ref="G163:M163" si="59">G164+G166+G167+G168</f>
        <v>17002.365000000002</v>
      </c>
      <c r="H163" s="23">
        <f t="shared" si="59"/>
        <v>20471.473999999998</v>
      </c>
      <c r="I163" s="23">
        <f t="shared" si="59"/>
        <v>22310.907999999999</v>
      </c>
      <c r="J163" s="23">
        <f t="shared" si="59"/>
        <v>25965.97</v>
      </c>
      <c r="K163" s="35">
        <f t="shared" si="59"/>
        <v>27587.96</v>
      </c>
      <c r="L163" s="35">
        <f t="shared" si="59"/>
        <v>28655.387999999999</v>
      </c>
      <c r="M163" s="35">
        <f t="shared" si="59"/>
        <v>30257.05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41"/>
      <c r="AS163" s="42"/>
      <c r="AT163" s="42"/>
      <c r="AU163" s="42"/>
      <c r="AV163" s="42"/>
      <c r="AW163" s="42"/>
      <c r="AX163" s="42"/>
      <c r="AY163" s="42"/>
      <c r="AZ163" s="47"/>
      <c r="BA163" s="48"/>
    </row>
    <row r="164" spans="1:53" s="3" customFormat="1" ht="21.75" customHeight="1">
      <c r="A164" s="119"/>
      <c r="B164" s="134"/>
      <c r="C164" s="106"/>
      <c r="D164" s="158"/>
      <c r="E164" s="55" t="s">
        <v>69</v>
      </c>
      <c r="F164" s="22">
        <f t="shared" ref="F164:F194" si="60">G164+H164+I164+J164+K164+L164</f>
        <v>0</v>
      </c>
      <c r="G164" s="24">
        <v>0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41"/>
      <c r="AS164" s="42"/>
      <c r="AT164" s="42"/>
      <c r="AU164" s="42"/>
      <c r="AV164" s="42"/>
      <c r="AW164" s="42"/>
      <c r="AX164" s="42"/>
      <c r="AY164" s="42"/>
      <c r="AZ164" s="47"/>
      <c r="BA164" s="48"/>
    </row>
    <row r="165" spans="1:53" s="3" customFormat="1" ht="25.5" customHeight="1">
      <c r="A165" s="119"/>
      <c r="B165" s="134"/>
      <c r="C165" s="106"/>
      <c r="D165" s="158"/>
      <c r="E165" s="21" t="s">
        <v>70</v>
      </c>
      <c r="F165" s="22">
        <f t="shared" si="60"/>
        <v>0</v>
      </c>
      <c r="G165" s="24">
        <v>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41"/>
      <c r="AS165" s="42"/>
      <c r="AT165" s="42"/>
      <c r="AU165" s="42"/>
      <c r="AV165" s="42"/>
      <c r="AW165" s="42"/>
      <c r="AX165" s="42"/>
      <c r="AY165" s="42"/>
      <c r="AZ165" s="47"/>
      <c r="BA165" s="48"/>
    </row>
    <row r="166" spans="1:53" s="3" customFormat="1" ht="21.75" customHeight="1">
      <c r="A166" s="119"/>
      <c r="B166" s="134"/>
      <c r="C166" s="106"/>
      <c r="D166" s="158"/>
      <c r="E166" s="55" t="s">
        <v>71</v>
      </c>
      <c r="F166" s="22">
        <f t="shared" si="60"/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41"/>
      <c r="AS166" s="42"/>
      <c r="AT166" s="42"/>
      <c r="AU166" s="42"/>
      <c r="AV166" s="42"/>
      <c r="AW166" s="42"/>
      <c r="AX166" s="42"/>
      <c r="AY166" s="42"/>
      <c r="AZ166" s="47"/>
      <c r="BA166" s="48"/>
    </row>
    <row r="167" spans="1:53" s="3" customFormat="1" ht="21.75" customHeight="1">
      <c r="A167" s="119"/>
      <c r="B167" s="134"/>
      <c r="C167" s="106"/>
      <c r="D167" s="158"/>
      <c r="E167" s="55" t="s">
        <v>72</v>
      </c>
      <c r="F167" s="22">
        <f>G167+H167+I167+J167+K167+L167+M167</f>
        <v>172251.11499999999</v>
      </c>
      <c r="G167" s="24">
        <f>16910.958+91.407</f>
        <v>17002.365000000002</v>
      </c>
      <c r="H167" s="24">
        <v>20471.473999999998</v>
      </c>
      <c r="I167" s="26">
        <f>22310.908</f>
        <v>22310.907999999999</v>
      </c>
      <c r="J167" s="26">
        <v>25965.97</v>
      </c>
      <c r="K167" s="24">
        <v>27587.96</v>
      </c>
      <c r="L167" s="26">
        <v>28655.387999999999</v>
      </c>
      <c r="M167" s="24">
        <v>30257.05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41"/>
      <c r="AS167" s="42"/>
      <c r="AT167" s="42"/>
      <c r="AU167" s="42"/>
      <c r="AV167" s="42"/>
      <c r="AW167" s="42"/>
      <c r="AX167" s="42"/>
      <c r="AY167" s="42"/>
      <c r="AZ167" s="47"/>
      <c r="BA167" s="48"/>
    </row>
    <row r="168" spans="1:53" s="6" customFormat="1" ht="21.75" customHeight="1">
      <c r="A168" s="120"/>
      <c r="B168" s="135"/>
      <c r="C168" s="107"/>
      <c r="D168" s="159"/>
      <c r="E168" s="55" t="s">
        <v>73</v>
      </c>
      <c r="F168" s="22">
        <f t="shared" si="60"/>
        <v>0</v>
      </c>
      <c r="G168" s="24">
        <v>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57"/>
      <c r="AS168" s="58"/>
      <c r="AT168" s="58"/>
      <c r="AU168" s="58"/>
      <c r="AV168" s="58"/>
      <c r="AW168" s="58"/>
      <c r="AX168" s="58"/>
      <c r="AY168" s="58"/>
      <c r="AZ168" s="59"/>
      <c r="BA168" s="60"/>
    </row>
    <row r="169" spans="1:53" s="3" customFormat="1" ht="21.75" customHeight="1">
      <c r="A169" s="118" t="s">
        <v>153</v>
      </c>
      <c r="B169" s="130" t="s">
        <v>154</v>
      </c>
      <c r="C169" s="105" t="s">
        <v>96</v>
      </c>
      <c r="D169" s="121" t="s">
        <v>155</v>
      </c>
      <c r="E169" s="55" t="s">
        <v>68</v>
      </c>
      <c r="F169" s="22">
        <f>G169+H169+I169+J169+K169+L169+M169</f>
        <v>54498.899000000005</v>
      </c>
      <c r="G169" s="23">
        <f t="shared" ref="G169:I169" si="61">G170+G172+G173+G174</f>
        <v>5411.7749999999996</v>
      </c>
      <c r="H169" s="23">
        <f t="shared" si="61"/>
        <v>6502.9970000000003</v>
      </c>
      <c r="I169" s="23">
        <f t="shared" si="61"/>
        <v>7087.942</v>
      </c>
      <c r="J169" s="23">
        <f t="shared" ref="J169:M169" si="62">J170+J172+J173+J174</f>
        <v>8055.1009999999997</v>
      </c>
      <c r="K169" s="35">
        <f t="shared" si="62"/>
        <v>8645.1440000000002</v>
      </c>
      <c r="L169" s="35">
        <f t="shared" si="62"/>
        <v>9143.4760000000006</v>
      </c>
      <c r="M169" s="35">
        <f t="shared" si="62"/>
        <v>9652.4639999999999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41"/>
      <c r="AS169" s="42"/>
      <c r="AT169" s="42"/>
      <c r="AU169" s="42"/>
      <c r="AV169" s="42"/>
      <c r="AW169" s="42"/>
      <c r="AX169" s="42"/>
      <c r="AY169" s="42"/>
      <c r="AZ169" s="47"/>
      <c r="BA169" s="48"/>
    </row>
    <row r="170" spans="1:53" s="3" customFormat="1" ht="21.75" customHeight="1">
      <c r="A170" s="119"/>
      <c r="B170" s="134"/>
      <c r="C170" s="106"/>
      <c r="D170" s="122"/>
      <c r="E170" s="55" t="s">
        <v>69</v>
      </c>
      <c r="F170" s="22">
        <f t="shared" si="60"/>
        <v>0</v>
      </c>
      <c r="G170" s="24">
        <v>0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41"/>
      <c r="AS170" s="42"/>
      <c r="AT170" s="42"/>
      <c r="AU170" s="42"/>
      <c r="AV170" s="42"/>
      <c r="AW170" s="42"/>
      <c r="AX170" s="42"/>
      <c r="AY170" s="42"/>
      <c r="AZ170" s="47"/>
      <c r="BA170" s="48"/>
    </row>
    <row r="171" spans="1:53" s="3" customFormat="1" ht="25.5" customHeight="1">
      <c r="A171" s="119"/>
      <c r="B171" s="134"/>
      <c r="C171" s="106"/>
      <c r="D171" s="122"/>
      <c r="E171" s="21" t="s">
        <v>70</v>
      </c>
      <c r="F171" s="22">
        <f t="shared" si="60"/>
        <v>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41"/>
      <c r="AS171" s="42"/>
      <c r="AT171" s="42"/>
      <c r="AU171" s="42"/>
      <c r="AV171" s="42"/>
      <c r="AW171" s="42"/>
      <c r="AX171" s="42"/>
      <c r="AY171" s="42"/>
      <c r="AZ171" s="47"/>
      <c r="BA171" s="48"/>
    </row>
    <row r="172" spans="1:53" s="3" customFormat="1" ht="21.75" customHeight="1">
      <c r="A172" s="119"/>
      <c r="B172" s="134"/>
      <c r="C172" s="106"/>
      <c r="D172" s="122"/>
      <c r="E172" s="55" t="s">
        <v>71</v>
      </c>
      <c r="F172" s="22">
        <f t="shared" si="60"/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41"/>
      <c r="AS172" s="42"/>
      <c r="AT172" s="42"/>
      <c r="AU172" s="42"/>
      <c r="AV172" s="42"/>
      <c r="AW172" s="42"/>
      <c r="AX172" s="42"/>
      <c r="AY172" s="42"/>
      <c r="AZ172" s="47"/>
      <c r="BA172" s="48"/>
    </row>
    <row r="173" spans="1:53" s="3" customFormat="1" ht="21.75" customHeight="1">
      <c r="A173" s="119"/>
      <c r="B173" s="134"/>
      <c r="C173" s="106"/>
      <c r="D173" s="122"/>
      <c r="E173" s="55" t="s">
        <v>72</v>
      </c>
      <c r="F173" s="22">
        <f>G173+H173+I173+J173+K173+L173+M173</f>
        <v>54498.899000000005</v>
      </c>
      <c r="G173" s="24">
        <v>5411.7749999999996</v>
      </c>
      <c r="H173" s="24">
        <v>6502.9970000000003</v>
      </c>
      <c r="I173" s="24">
        <v>7087.942</v>
      </c>
      <c r="J173" s="24">
        <v>8055.1009999999997</v>
      </c>
      <c r="K173" s="24">
        <v>8645.1440000000002</v>
      </c>
      <c r="L173" s="26">
        <v>9143.4760000000006</v>
      </c>
      <c r="M173" s="24">
        <v>9652.4639999999999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41"/>
      <c r="AS173" s="42"/>
      <c r="AT173" s="42"/>
      <c r="AU173" s="42"/>
      <c r="AV173" s="42"/>
      <c r="AW173" s="42"/>
      <c r="AX173" s="42"/>
      <c r="AY173" s="42"/>
      <c r="AZ173" s="47"/>
      <c r="BA173" s="48"/>
    </row>
    <row r="174" spans="1:53" s="6" customFormat="1" ht="21.75" customHeight="1">
      <c r="A174" s="120"/>
      <c r="B174" s="135"/>
      <c r="C174" s="107"/>
      <c r="D174" s="123"/>
      <c r="E174" s="55" t="s">
        <v>73</v>
      </c>
      <c r="F174" s="22">
        <f t="shared" si="60"/>
        <v>0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57"/>
      <c r="AS174" s="58"/>
      <c r="AT174" s="58"/>
      <c r="AU174" s="58"/>
      <c r="AV174" s="58"/>
      <c r="AW174" s="58"/>
      <c r="AX174" s="58"/>
      <c r="AY174" s="58"/>
      <c r="AZ174" s="59"/>
      <c r="BA174" s="60"/>
    </row>
    <row r="175" spans="1:53" s="3" customFormat="1" ht="21.75" customHeight="1">
      <c r="A175" s="118" t="s">
        <v>156</v>
      </c>
      <c r="B175" s="130" t="s">
        <v>157</v>
      </c>
      <c r="C175" s="105" t="s">
        <v>66</v>
      </c>
      <c r="D175" s="160" t="s">
        <v>158</v>
      </c>
      <c r="E175" s="55" t="s">
        <v>68</v>
      </c>
      <c r="F175" s="22">
        <f>G175+H175+I175+J175+K175+L175+M175</f>
        <v>262509.61259000003</v>
      </c>
      <c r="G175" s="23">
        <f t="shared" ref="G175:I175" si="63">G176+G178+G179+G180</f>
        <v>26229.38365</v>
      </c>
      <c r="H175" s="23">
        <f t="shared" si="63"/>
        <v>31748.867999999999</v>
      </c>
      <c r="I175" s="23">
        <f t="shared" si="63"/>
        <v>32827.4853</v>
      </c>
      <c r="J175" s="23">
        <f t="shared" ref="J175:M175" si="64">J176+J178+J179+J180</f>
        <v>40227.715669999998</v>
      </c>
      <c r="K175" s="35">
        <f t="shared" si="64"/>
        <v>43249.493970000003</v>
      </c>
      <c r="L175" s="35">
        <f t="shared" si="64"/>
        <v>42925.394</v>
      </c>
      <c r="M175" s="35">
        <f t="shared" si="64"/>
        <v>45301.271999999997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41"/>
      <c r="AS175" s="42"/>
      <c r="AT175" s="42"/>
      <c r="AU175" s="42"/>
      <c r="AV175" s="42"/>
      <c r="AW175" s="42"/>
      <c r="AX175" s="42"/>
      <c r="AY175" s="42"/>
      <c r="AZ175" s="47"/>
      <c r="BA175" s="48"/>
    </row>
    <row r="176" spans="1:53" s="3" customFormat="1" ht="21.75" customHeight="1">
      <c r="A176" s="119"/>
      <c r="B176" s="134"/>
      <c r="C176" s="106"/>
      <c r="D176" s="160"/>
      <c r="E176" s="55" t="s">
        <v>69</v>
      </c>
      <c r="F176" s="22">
        <f t="shared" si="60"/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41"/>
      <c r="AS176" s="42"/>
      <c r="AT176" s="42"/>
      <c r="AU176" s="42"/>
      <c r="AV176" s="42"/>
      <c r="AW176" s="42"/>
      <c r="AX176" s="42"/>
      <c r="AY176" s="42"/>
      <c r="AZ176" s="47"/>
      <c r="BA176" s="48"/>
    </row>
    <row r="177" spans="1:53" s="3" customFormat="1" ht="30.75" customHeight="1">
      <c r="A177" s="119"/>
      <c r="B177" s="134"/>
      <c r="C177" s="106"/>
      <c r="D177" s="160"/>
      <c r="E177" s="21" t="s">
        <v>70</v>
      </c>
      <c r="F177" s="22">
        <f t="shared" si="60"/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41"/>
      <c r="AS177" s="42"/>
      <c r="AT177" s="42"/>
      <c r="AU177" s="42"/>
      <c r="AV177" s="42"/>
      <c r="AW177" s="42"/>
      <c r="AX177" s="42"/>
      <c r="AY177" s="42"/>
      <c r="AZ177" s="47"/>
      <c r="BA177" s="48"/>
    </row>
    <row r="178" spans="1:53" s="3" customFormat="1" ht="21.75" customHeight="1">
      <c r="A178" s="119"/>
      <c r="B178" s="134"/>
      <c r="C178" s="106"/>
      <c r="D178" s="160"/>
      <c r="E178" s="55" t="s">
        <v>71</v>
      </c>
      <c r="F178" s="22">
        <f t="shared" si="60"/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41"/>
      <c r="AS178" s="42"/>
      <c r="AT178" s="42"/>
      <c r="AU178" s="42"/>
      <c r="AV178" s="42"/>
      <c r="AW178" s="42"/>
      <c r="AX178" s="42"/>
      <c r="AY178" s="42"/>
      <c r="AZ178" s="47"/>
      <c r="BA178" s="48"/>
    </row>
    <row r="179" spans="1:53" s="3" customFormat="1" ht="21.75" customHeight="1">
      <c r="A179" s="119"/>
      <c r="B179" s="134"/>
      <c r="C179" s="106"/>
      <c r="D179" s="160"/>
      <c r="E179" s="55" t="s">
        <v>72</v>
      </c>
      <c r="F179" s="22">
        <f>G179+H179+I179+J179+K179+L179+M179</f>
        <v>262509.61259000003</v>
      </c>
      <c r="G179" s="24">
        <f>26465.209-457.031+221.20565</f>
        <v>26229.38365</v>
      </c>
      <c r="H179" s="24">
        <f>31748.868</f>
        <v>31748.867999999999</v>
      </c>
      <c r="I179" s="26">
        <f>32778.152+49.3333</f>
        <v>32827.4853</v>
      </c>
      <c r="J179" s="26">
        <v>40227.715669999998</v>
      </c>
      <c r="K179" s="38">
        <f>43259.71451-10.22054</f>
        <v>43249.493970000003</v>
      </c>
      <c r="L179" s="26">
        <v>42925.394</v>
      </c>
      <c r="M179" s="24">
        <v>45301.271999999997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41"/>
      <c r="AS179" s="42"/>
      <c r="AT179" s="42"/>
      <c r="AU179" s="42"/>
      <c r="AV179" s="42"/>
      <c r="AW179" s="42"/>
      <c r="AX179" s="42"/>
      <c r="AY179" s="42"/>
      <c r="AZ179" s="47"/>
      <c r="BA179" s="48"/>
    </row>
    <row r="180" spans="1:53" s="6" customFormat="1" ht="21.75" customHeight="1">
      <c r="A180" s="120"/>
      <c r="B180" s="135"/>
      <c r="C180" s="107"/>
      <c r="D180" s="161"/>
      <c r="E180" s="55" t="s">
        <v>73</v>
      </c>
      <c r="F180" s="22">
        <f t="shared" si="60"/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57"/>
      <c r="AS180" s="58"/>
      <c r="AT180" s="58"/>
      <c r="AU180" s="58"/>
      <c r="AV180" s="58"/>
      <c r="AW180" s="58"/>
      <c r="AX180" s="58"/>
      <c r="AY180" s="58"/>
      <c r="AZ180" s="59"/>
      <c r="BA180" s="60"/>
    </row>
    <row r="181" spans="1:53" s="6" customFormat="1" ht="21.75" customHeight="1">
      <c r="A181" s="121" t="s">
        <v>159</v>
      </c>
      <c r="B181" s="130" t="s">
        <v>160</v>
      </c>
      <c r="C181" s="150" t="s">
        <v>134</v>
      </c>
      <c r="D181" s="121" t="s">
        <v>158</v>
      </c>
      <c r="E181" s="55" t="s">
        <v>68</v>
      </c>
      <c r="F181" s="22">
        <f>G181+H181+I181+J181+K181+L181+M181</f>
        <v>1750.2467999999999</v>
      </c>
      <c r="G181" s="23">
        <f>G182+G184+G185+G186</f>
        <v>352.99927000000002</v>
      </c>
      <c r="H181" s="23">
        <f>H182+H184+H185+H186</f>
        <v>360.67995999999999</v>
      </c>
      <c r="I181" s="23">
        <f>I182+I184+I185+I186</f>
        <v>321.53231</v>
      </c>
      <c r="J181" s="23">
        <f>J182+J184+J185+J186</f>
        <v>322.50402000000003</v>
      </c>
      <c r="K181" s="23">
        <f t="shared" ref="K181:M181" si="65">K182+K184+K185+K186</f>
        <v>392.53124000000003</v>
      </c>
      <c r="L181" s="23">
        <f t="shared" si="65"/>
        <v>0</v>
      </c>
      <c r="M181" s="23">
        <f t="shared" si="65"/>
        <v>0</v>
      </c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57"/>
      <c r="AS181" s="58"/>
      <c r="AT181" s="58"/>
      <c r="AU181" s="58"/>
      <c r="AV181" s="58"/>
      <c r="AW181" s="58"/>
      <c r="AX181" s="58"/>
      <c r="AY181" s="58"/>
      <c r="AZ181" s="59"/>
      <c r="BA181" s="60"/>
    </row>
    <row r="182" spans="1:53" s="6" customFormat="1" ht="21.75" customHeight="1">
      <c r="A182" s="122"/>
      <c r="B182" s="131"/>
      <c r="C182" s="151"/>
      <c r="D182" s="158"/>
      <c r="E182" s="55" t="s">
        <v>69</v>
      </c>
      <c r="F182" s="22">
        <f>G182+H182+I182+J182+K182+L182+M182</f>
        <v>1657.4857</v>
      </c>
      <c r="G182" s="24">
        <v>335.34931</v>
      </c>
      <c r="H182" s="30">
        <v>342.30331999999999</v>
      </c>
      <c r="I182" s="24">
        <v>305.15024</v>
      </c>
      <c r="J182" s="39">
        <f>300.2152+5.85724</f>
        <v>306.07243999999997</v>
      </c>
      <c r="K182" s="39">
        <v>368.61039</v>
      </c>
      <c r="L182" s="39">
        <v>0</v>
      </c>
      <c r="M182" s="3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57"/>
      <c r="AS182" s="58"/>
      <c r="AT182" s="58"/>
      <c r="AU182" s="58"/>
      <c r="AV182" s="58"/>
      <c r="AW182" s="58"/>
      <c r="AX182" s="58"/>
      <c r="AY182" s="58"/>
      <c r="AZ182" s="59"/>
      <c r="BA182" s="60"/>
    </row>
    <row r="183" spans="1:53" s="6" customFormat="1" ht="26.25" customHeight="1">
      <c r="A183" s="122"/>
      <c r="B183" s="131"/>
      <c r="C183" s="151"/>
      <c r="D183" s="158"/>
      <c r="E183" s="21" t="s">
        <v>70</v>
      </c>
      <c r="F183" s="22">
        <f t="shared" si="60"/>
        <v>0</v>
      </c>
      <c r="G183" s="24">
        <v>0</v>
      </c>
      <c r="H183" s="24">
        <v>0</v>
      </c>
      <c r="I183" s="24">
        <v>0</v>
      </c>
      <c r="J183" s="39">
        <v>0</v>
      </c>
      <c r="K183" s="39"/>
      <c r="L183" s="39"/>
      <c r="M183" s="3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57"/>
      <c r="AS183" s="58"/>
      <c r="AT183" s="58"/>
      <c r="AU183" s="58"/>
      <c r="AV183" s="58"/>
      <c r="AW183" s="58"/>
      <c r="AX183" s="58"/>
      <c r="AY183" s="58"/>
      <c r="AZ183" s="59"/>
      <c r="BA183" s="60"/>
    </row>
    <row r="184" spans="1:53" s="6" customFormat="1" ht="21.75" customHeight="1">
      <c r="A184" s="122"/>
      <c r="B184" s="131"/>
      <c r="C184" s="151"/>
      <c r="D184" s="158"/>
      <c r="E184" s="55" t="s">
        <v>71</v>
      </c>
      <c r="F184" s="22">
        <f>G184+H184+I184+J184+K184+L184+M184</f>
        <v>91.363860000000003</v>
      </c>
      <c r="G184" s="24">
        <v>17.64996</v>
      </c>
      <c r="H184" s="30">
        <v>18.01596</v>
      </c>
      <c r="I184" s="24">
        <v>16.06054</v>
      </c>
      <c r="J184" s="39">
        <f>15.8008+0.30828</f>
        <v>16.109079999999999</v>
      </c>
      <c r="K184" s="39">
        <v>23.528320000000001</v>
      </c>
      <c r="L184" s="39">
        <v>0</v>
      </c>
      <c r="M184" s="3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57"/>
      <c r="AS184" s="58"/>
      <c r="AT184" s="58"/>
      <c r="AU184" s="58"/>
      <c r="AV184" s="58"/>
      <c r="AW184" s="58"/>
      <c r="AX184" s="58"/>
      <c r="AY184" s="58"/>
      <c r="AZ184" s="59"/>
      <c r="BA184" s="60"/>
    </row>
    <row r="185" spans="1:53" s="6" customFormat="1" ht="21.75" customHeight="1">
      <c r="A185" s="122"/>
      <c r="B185" s="131"/>
      <c r="C185" s="151"/>
      <c r="D185" s="158"/>
      <c r="E185" s="55" t="s">
        <v>72</v>
      </c>
      <c r="F185" s="22">
        <f>G185+H185+I185+J185+K185+L185+M185</f>
        <v>1.39724</v>
      </c>
      <c r="G185" s="24">
        <v>0</v>
      </c>
      <c r="H185" s="30">
        <v>0.36068</v>
      </c>
      <c r="I185" s="39">
        <v>0.32152999999999998</v>
      </c>
      <c r="J185" s="39">
        <f>0.31633+0.00617</f>
        <v>0.32250000000000001</v>
      </c>
      <c r="K185" s="26">
        <v>0.39252999999999999</v>
      </c>
      <c r="L185" s="26">
        <v>0</v>
      </c>
      <c r="M185" s="3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57"/>
      <c r="AS185" s="58"/>
      <c r="AT185" s="58"/>
      <c r="AU185" s="58"/>
      <c r="AV185" s="58"/>
      <c r="AW185" s="58"/>
      <c r="AX185" s="58"/>
      <c r="AY185" s="58"/>
      <c r="AZ185" s="59"/>
      <c r="BA185" s="60"/>
    </row>
    <row r="186" spans="1:53" s="6" customFormat="1" ht="21.75" customHeight="1">
      <c r="A186" s="123"/>
      <c r="B186" s="132"/>
      <c r="C186" s="152"/>
      <c r="D186" s="159"/>
      <c r="E186" s="55" t="s">
        <v>73</v>
      </c>
      <c r="F186" s="22">
        <f t="shared" si="60"/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3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57"/>
      <c r="AS186" s="58"/>
      <c r="AT186" s="58"/>
      <c r="AU186" s="58"/>
      <c r="AV186" s="58"/>
      <c r="AW186" s="58"/>
      <c r="AX186" s="58"/>
      <c r="AY186" s="58"/>
      <c r="AZ186" s="59"/>
      <c r="BA186" s="60"/>
    </row>
    <row r="187" spans="1:53" s="6" customFormat="1" ht="21.75" customHeight="1">
      <c r="A187" s="118" t="s">
        <v>161</v>
      </c>
      <c r="B187" s="130" t="s">
        <v>162</v>
      </c>
      <c r="C187" s="105" t="s">
        <v>80</v>
      </c>
      <c r="D187" s="121" t="s">
        <v>163</v>
      </c>
      <c r="E187" s="55" t="s">
        <v>68</v>
      </c>
      <c r="F187" s="22">
        <f>G187+H187+I187+J187+K187+L187+M187</f>
        <v>1409.76</v>
      </c>
      <c r="G187" s="23">
        <f t="shared" ref="G187:H187" si="66">SUM(G188:G192)</f>
        <v>475.89</v>
      </c>
      <c r="H187" s="23">
        <f t="shared" si="66"/>
        <v>356.5</v>
      </c>
      <c r="I187" s="23">
        <f t="shared" ref="I187:J187" si="67">SUM(I188:I192)</f>
        <v>151.53</v>
      </c>
      <c r="J187" s="23">
        <f t="shared" si="67"/>
        <v>425.84</v>
      </c>
      <c r="K187" s="23">
        <f t="shared" ref="K187:M187" si="68">SUM(K188:K192)</f>
        <v>0</v>
      </c>
      <c r="L187" s="23">
        <f t="shared" si="68"/>
        <v>0</v>
      </c>
      <c r="M187" s="23">
        <f t="shared" si="68"/>
        <v>0</v>
      </c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57"/>
      <c r="AS187" s="58"/>
      <c r="AT187" s="58"/>
      <c r="AU187" s="58"/>
      <c r="AV187" s="58"/>
      <c r="AW187" s="58"/>
      <c r="AX187" s="58"/>
      <c r="AY187" s="58"/>
      <c r="AZ187" s="59"/>
      <c r="BA187" s="60"/>
    </row>
    <row r="188" spans="1:53" s="6" customFormat="1" ht="21.75" customHeight="1">
      <c r="A188" s="119"/>
      <c r="B188" s="131"/>
      <c r="C188" s="106"/>
      <c r="D188" s="158"/>
      <c r="E188" s="55" t="s">
        <v>69</v>
      </c>
      <c r="F188" s="22">
        <f t="shared" si="60"/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57"/>
      <c r="AS188" s="58"/>
      <c r="AT188" s="58"/>
      <c r="AU188" s="58"/>
      <c r="AV188" s="58"/>
      <c r="AW188" s="58"/>
      <c r="AX188" s="58"/>
      <c r="AY188" s="58"/>
      <c r="AZ188" s="59"/>
      <c r="BA188" s="60"/>
    </row>
    <row r="189" spans="1:53" s="6" customFormat="1" ht="27.75" customHeight="1">
      <c r="A189" s="119"/>
      <c r="B189" s="131"/>
      <c r="C189" s="106"/>
      <c r="D189" s="158"/>
      <c r="E189" s="21" t="s">
        <v>70</v>
      </c>
      <c r="F189" s="22">
        <f t="shared" si="60"/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57"/>
      <c r="AS189" s="58"/>
      <c r="AT189" s="58"/>
      <c r="AU189" s="58"/>
      <c r="AV189" s="58"/>
      <c r="AW189" s="58"/>
      <c r="AX189" s="58"/>
      <c r="AY189" s="58"/>
      <c r="AZ189" s="59"/>
      <c r="BA189" s="60"/>
    </row>
    <row r="190" spans="1:53" s="6" customFormat="1" ht="21.75" customHeight="1">
      <c r="A190" s="119"/>
      <c r="B190" s="131"/>
      <c r="C190" s="106"/>
      <c r="D190" s="158"/>
      <c r="E190" s="55" t="s">
        <v>71</v>
      </c>
      <c r="F190" s="22">
        <f t="shared" si="60"/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57"/>
      <c r="AS190" s="58"/>
      <c r="AT190" s="58"/>
      <c r="AU190" s="58"/>
      <c r="AV190" s="58"/>
      <c r="AW190" s="58"/>
      <c r="AX190" s="58"/>
      <c r="AY190" s="58"/>
      <c r="AZ190" s="59"/>
      <c r="BA190" s="60"/>
    </row>
    <row r="191" spans="1:53" s="6" customFormat="1" ht="21.75" customHeight="1">
      <c r="A191" s="119"/>
      <c r="B191" s="131"/>
      <c r="C191" s="106"/>
      <c r="D191" s="158"/>
      <c r="E191" s="55" t="s">
        <v>72</v>
      </c>
      <c r="F191" s="22">
        <f>G191+H191+I191+J191+K191+L191+M191</f>
        <v>1409.76</v>
      </c>
      <c r="G191" s="26">
        <f>475.89</f>
        <v>475.89</v>
      </c>
      <c r="H191" s="24">
        <v>356.5</v>
      </c>
      <c r="I191" s="24">
        <v>151.53</v>
      </c>
      <c r="J191" s="24">
        <v>425.84</v>
      </c>
      <c r="K191" s="24">
        <v>0</v>
      </c>
      <c r="L191" s="24">
        <v>0</v>
      </c>
      <c r="M191" s="24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57"/>
      <c r="AS191" s="58"/>
      <c r="AT191" s="58"/>
      <c r="AU191" s="58"/>
      <c r="AV191" s="58"/>
      <c r="AW191" s="58"/>
      <c r="AX191" s="58"/>
      <c r="AY191" s="58"/>
      <c r="AZ191" s="59"/>
      <c r="BA191" s="60"/>
    </row>
    <row r="192" spans="1:53" s="6" customFormat="1" ht="21.75" customHeight="1">
      <c r="A192" s="120"/>
      <c r="B192" s="132"/>
      <c r="C192" s="107"/>
      <c r="D192" s="159"/>
      <c r="E192" s="55" t="s">
        <v>73</v>
      </c>
      <c r="F192" s="22">
        <f t="shared" si="60"/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57"/>
      <c r="AS192" s="58"/>
      <c r="AT192" s="58"/>
      <c r="AU192" s="58"/>
      <c r="AV192" s="58"/>
      <c r="AW192" s="58"/>
      <c r="AX192" s="58"/>
      <c r="AY192" s="58"/>
      <c r="AZ192" s="59"/>
      <c r="BA192" s="60"/>
    </row>
    <row r="193" spans="1:53" s="6" customFormat="1" ht="21.75" customHeight="1">
      <c r="A193" s="121" t="s">
        <v>164</v>
      </c>
      <c r="B193" s="130" t="s">
        <v>165</v>
      </c>
      <c r="C193" s="147" t="s">
        <v>166</v>
      </c>
      <c r="D193" s="121" t="s">
        <v>167</v>
      </c>
      <c r="E193" s="55" t="s">
        <v>68</v>
      </c>
      <c r="F193" s="22">
        <f t="shared" si="60"/>
        <v>13008.00801</v>
      </c>
      <c r="G193" s="23">
        <f t="shared" ref="G193:H193" si="69">SUM(G194:G198)</f>
        <v>0</v>
      </c>
      <c r="H193" s="23">
        <f t="shared" si="69"/>
        <v>5000</v>
      </c>
      <c r="I193" s="23">
        <f t="shared" ref="I193:J193" si="70">SUM(I194:I198)</f>
        <v>0</v>
      </c>
      <c r="J193" s="23">
        <f t="shared" si="70"/>
        <v>0</v>
      </c>
      <c r="K193" s="23">
        <f t="shared" ref="K193:M193" si="71">SUM(K194:K198)</f>
        <v>8008.0080099999996</v>
      </c>
      <c r="L193" s="23">
        <f t="shared" si="71"/>
        <v>0</v>
      </c>
      <c r="M193" s="23">
        <f t="shared" si="71"/>
        <v>0</v>
      </c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57"/>
      <c r="AS193" s="58"/>
      <c r="AT193" s="58"/>
      <c r="AU193" s="58"/>
      <c r="AV193" s="58"/>
      <c r="AW193" s="58"/>
      <c r="AX193" s="58"/>
      <c r="AY193" s="58"/>
      <c r="AZ193" s="59"/>
      <c r="BA193" s="60"/>
    </row>
    <row r="194" spans="1:53" s="6" customFormat="1" ht="21.75" customHeight="1">
      <c r="A194" s="122"/>
      <c r="B194" s="131"/>
      <c r="C194" s="148"/>
      <c r="D194" s="158"/>
      <c r="E194" s="55" t="s">
        <v>69</v>
      </c>
      <c r="F194" s="22">
        <f t="shared" si="60"/>
        <v>12920</v>
      </c>
      <c r="G194" s="24">
        <v>0</v>
      </c>
      <c r="H194" s="30">
        <v>5000</v>
      </c>
      <c r="I194" s="30"/>
      <c r="J194" s="24">
        <v>0</v>
      </c>
      <c r="K194" s="24">
        <v>7920</v>
      </c>
      <c r="L194" s="24">
        <v>0</v>
      </c>
      <c r="M194" s="24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57"/>
      <c r="AS194" s="58"/>
      <c r="AT194" s="58"/>
      <c r="AU194" s="58"/>
      <c r="AV194" s="58"/>
      <c r="AW194" s="58"/>
      <c r="AX194" s="58"/>
      <c r="AY194" s="58"/>
      <c r="AZ194" s="59"/>
      <c r="BA194" s="60"/>
    </row>
    <row r="195" spans="1:53" s="6" customFormat="1" ht="29.25" customHeight="1">
      <c r="A195" s="122"/>
      <c r="B195" s="131"/>
      <c r="C195" s="148"/>
      <c r="D195" s="158"/>
      <c r="E195" s="21" t="s">
        <v>70</v>
      </c>
      <c r="F195" s="22">
        <f t="shared" ref="F195:F232" si="72">G195+H195+I195+J195+K195+L195</f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57"/>
      <c r="AS195" s="58"/>
      <c r="AT195" s="58"/>
      <c r="AU195" s="58"/>
      <c r="AV195" s="58"/>
      <c r="AW195" s="58"/>
      <c r="AX195" s="58"/>
      <c r="AY195" s="58"/>
      <c r="AZ195" s="59"/>
      <c r="BA195" s="60"/>
    </row>
    <row r="196" spans="1:53" s="6" customFormat="1" ht="21.75" customHeight="1">
      <c r="A196" s="122"/>
      <c r="B196" s="131"/>
      <c r="C196" s="148"/>
      <c r="D196" s="158"/>
      <c r="E196" s="55" t="s">
        <v>71</v>
      </c>
      <c r="F196" s="22">
        <f t="shared" si="72"/>
        <v>80</v>
      </c>
      <c r="G196" s="24">
        <v>0</v>
      </c>
      <c r="H196" s="24">
        <v>0</v>
      </c>
      <c r="I196" s="24">
        <v>0</v>
      </c>
      <c r="J196" s="24">
        <v>0</v>
      </c>
      <c r="K196" s="24">
        <v>80</v>
      </c>
      <c r="L196" s="24">
        <v>0</v>
      </c>
      <c r="M196" s="24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57"/>
      <c r="AS196" s="58"/>
      <c r="AT196" s="58"/>
      <c r="AU196" s="58"/>
      <c r="AV196" s="58"/>
      <c r="AW196" s="58"/>
      <c r="AX196" s="58"/>
      <c r="AY196" s="58"/>
      <c r="AZ196" s="59"/>
      <c r="BA196" s="60"/>
    </row>
    <row r="197" spans="1:53" s="6" customFormat="1" ht="21.75" customHeight="1">
      <c r="A197" s="122"/>
      <c r="B197" s="131"/>
      <c r="C197" s="148"/>
      <c r="D197" s="158"/>
      <c r="E197" s="55" t="s">
        <v>72</v>
      </c>
      <c r="F197" s="22">
        <f t="shared" si="72"/>
        <v>8.0080100000000005</v>
      </c>
      <c r="G197" s="24">
        <v>0</v>
      </c>
      <c r="H197" s="26"/>
      <c r="I197" s="24">
        <v>0</v>
      </c>
      <c r="J197" s="24">
        <v>0</v>
      </c>
      <c r="K197" s="24">
        <v>8.0080100000000005</v>
      </c>
      <c r="L197" s="24">
        <v>0</v>
      </c>
      <c r="M197" s="24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57"/>
      <c r="AS197" s="58"/>
      <c r="AT197" s="58"/>
      <c r="AU197" s="58"/>
      <c r="AV197" s="58"/>
      <c r="AW197" s="58"/>
      <c r="AX197" s="58"/>
      <c r="AY197" s="58"/>
      <c r="AZ197" s="59"/>
      <c r="BA197" s="60"/>
    </row>
    <row r="198" spans="1:53" s="6" customFormat="1" ht="21.75" customHeight="1">
      <c r="A198" s="123"/>
      <c r="B198" s="132"/>
      <c r="C198" s="149"/>
      <c r="D198" s="159"/>
      <c r="E198" s="55" t="s">
        <v>73</v>
      </c>
      <c r="F198" s="22">
        <f t="shared" si="72"/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57"/>
      <c r="AS198" s="58"/>
      <c r="AT198" s="58"/>
      <c r="AU198" s="58"/>
      <c r="AV198" s="58"/>
      <c r="AW198" s="58"/>
      <c r="AX198" s="58"/>
      <c r="AY198" s="58"/>
      <c r="AZ198" s="59"/>
      <c r="BA198" s="60"/>
    </row>
    <row r="199" spans="1:53" s="6" customFormat="1" ht="21.75" customHeight="1">
      <c r="A199" s="121" t="s">
        <v>168</v>
      </c>
      <c r="B199" s="130" t="s">
        <v>169</v>
      </c>
      <c r="C199" s="147">
        <v>2026</v>
      </c>
      <c r="D199" s="121" t="s">
        <v>170</v>
      </c>
      <c r="E199" s="55" t="s">
        <v>68</v>
      </c>
      <c r="F199" s="22">
        <f t="shared" si="72"/>
        <v>1162.98116</v>
      </c>
      <c r="G199" s="23">
        <f t="shared" ref="G199:H199" si="73">SUM(G200:G204)</f>
        <v>0</v>
      </c>
      <c r="H199" s="23">
        <f t="shared" si="73"/>
        <v>0</v>
      </c>
      <c r="I199" s="23">
        <f t="shared" ref="I199:M199" si="74">SUM(I200:I204)</f>
        <v>0</v>
      </c>
      <c r="J199" s="23">
        <f t="shared" si="74"/>
        <v>0</v>
      </c>
      <c r="K199" s="23">
        <f t="shared" si="74"/>
        <v>1162.98116</v>
      </c>
      <c r="L199" s="23">
        <f t="shared" si="74"/>
        <v>0</v>
      </c>
      <c r="M199" s="23">
        <f t="shared" si="74"/>
        <v>0</v>
      </c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57"/>
      <c r="AS199" s="58"/>
      <c r="AT199" s="58"/>
      <c r="AU199" s="58"/>
      <c r="AV199" s="58"/>
      <c r="AW199" s="58"/>
      <c r="AX199" s="58"/>
      <c r="AY199" s="58"/>
      <c r="AZ199" s="59"/>
      <c r="BA199" s="60"/>
    </row>
    <row r="200" spans="1:53" s="6" customFormat="1" ht="21.75" customHeight="1">
      <c r="A200" s="122"/>
      <c r="B200" s="131"/>
      <c r="C200" s="148"/>
      <c r="D200" s="158"/>
      <c r="E200" s="55" t="s">
        <v>69</v>
      </c>
      <c r="F200" s="22">
        <f t="shared" si="72"/>
        <v>1150.2</v>
      </c>
      <c r="G200" s="24">
        <v>0</v>
      </c>
      <c r="H200" s="30">
        <v>0</v>
      </c>
      <c r="I200" s="30"/>
      <c r="J200" s="24">
        <v>0</v>
      </c>
      <c r="K200" s="24">
        <v>1150.2</v>
      </c>
      <c r="L200" s="24">
        <v>0</v>
      </c>
      <c r="M200" s="24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57"/>
      <c r="AS200" s="58"/>
      <c r="AT200" s="58"/>
      <c r="AU200" s="58"/>
      <c r="AV200" s="58"/>
      <c r="AW200" s="58"/>
      <c r="AX200" s="58"/>
      <c r="AY200" s="58"/>
      <c r="AZ200" s="59"/>
      <c r="BA200" s="60"/>
    </row>
    <row r="201" spans="1:53" s="6" customFormat="1" ht="21.75" customHeight="1">
      <c r="A201" s="122"/>
      <c r="B201" s="131"/>
      <c r="C201" s="148"/>
      <c r="D201" s="158"/>
      <c r="E201" s="21" t="s">
        <v>70</v>
      </c>
      <c r="F201" s="22">
        <f t="shared" ref="F201:F204" si="75">G201+H201+I201+J201+K201+L201</f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57"/>
      <c r="AS201" s="58"/>
      <c r="AT201" s="58"/>
      <c r="AU201" s="58"/>
      <c r="AV201" s="58"/>
      <c r="AW201" s="58"/>
      <c r="AX201" s="58"/>
      <c r="AY201" s="58"/>
      <c r="AZ201" s="59"/>
      <c r="BA201" s="60"/>
    </row>
    <row r="202" spans="1:53" s="6" customFormat="1" ht="21.75" customHeight="1">
      <c r="A202" s="122"/>
      <c r="B202" s="131"/>
      <c r="C202" s="148"/>
      <c r="D202" s="158"/>
      <c r="E202" s="55" t="s">
        <v>71</v>
      </c>
      <c r="F202" s="22">
        <f t="shared" si="75"/>
        <v>11.618180000000001</v>
      </c>
      <c r="G202" s="24">
        <v>0</v>
      </c>
      <c r="H202" s="24">
        <v>0</v>
      </c>
      <c r="I202" s="24">
        <v>0</v>
      </c>
      <c r="J202" s="24">
        <v>0</v>
      </c>
      <c r="K202" s="24">
        <v>11.618180000000001</v>
      </c>
      <c r="L202" s="24">
        <v>0</v>
      </c>
      <c r="M202" s="24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57"/>
      <c r="AS202" s="58"/>
      <c r="AT202" s="58"/>
      <c r="AU202" s="58"/>
      <c r="AV202" s="58"/>
      <c r="AW202" s="58"/>
      <c r="AX202" s="58"/>
      <c r="AY202" s="58"/>
      <c r="AZ202" s="59"/>
      <c r="BA202" s="60"/>
    </row>
    <row r="203" spans="1:53" s="6" customFormat="1" ht="21.75" customHeight="1">
      <c r="A203" s="122"/>
      <c r="B203" s="131"/>
      <c r="C203" s="148"/>
      <c r="D203" s="158"/>
      <c r="E203" s="55" t="s">
        <v>72</v>
      </c>
      <c r="F203" s="22">
        <f t="shared" si="75"/>
        <v>1.1629799999999999</v>
      </c>
      <c r="G203" s="24">
        <v>0</v>
      </c>
      <c r="H203" s="26"/>
      <c r="I203" s="24">
        <v>0</v>
      </c>
      <c r="J203" s="24">
        <v>0</v>
      </c>
      <c r="K203" s="24">
        <v>1.1629799999999999</v>
      </c>
      <c r="L203" s="24">
        <v>0</v>
      </c>
      <c r="M203" s="24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57"/>
      <c r="AS203" s="58"/>
      <c r="AT203" s="58"/>
      <c r="AU203" s="58"/>
      <c r="AV203" s="58"/>
      <c r="AW203" s="58"/>
      <c r="AX203" s="58"/>
      <c r="AY203" s="58"/>
      <c r="AZ203" s="59"/>
      <c r="BA203" s="60"/>
    </row>
    <row r="204" spans="1:53" s="6" customFormat="1" ht="21.75" customHeight="1">
      <c r="A204" s="123"/>
      <c r="B204" s="132"/>
      <c r="C204" s="149"/>
      <c r="D204" s="159"/>
      <c r="E204" s="55" t="s">
        <v>73</v>
      </c>
      <c r="F204" s="22">
        <f t="shared" si="75"/>
        <v>0</v>
      </c>
      <c r="G204" s="24">
        <v>0</v>
      </c>
      <c r="H204" s="24">
        <v>0</v>
      </c>
      <c r="I204" s="24">
        <v>0</v>
      </c>
      <c r="J204" s="24">
        <v>0</v>
      </c>
      <c r="K204" s="24">
        <v>0</v>
      </c>
      <c r="L204" s="24">
        <v>0</v>
      </c>
      <c r="M204" s="24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57"/>
      <c r="AS204" s="58"/>
      <c r="AT204" s="58"/>
      <c r="AU204" s="58"/>
      <c r="AV204" s="58"/>
      <c r="AW204" s="58"/>
      <c r="AX204" s="58"/>
      <c r="AY204" s="58"/>
      <c r="AZ204" s="59"/>
      <c r="BA204" s="60"/>
    </row>
    <row r="205" spans="1:53" s="3" customFormat="1" ht="21.75" customHeight="1">
      <c r="A205" s="118" t="s">
        <v>171</v>
      </c>
      <c r="B205" s="118" t="s">
        <v>172</v>
      </c>
      <c r="C205" s="105" t="s">
        <v>173</v>
      </c>
      <c r="D205" s="121" t="s">
        <v>174</v>
      </c>
      <c r="E205" s="55" t="s">
        <v>68</v>
      </c>
      <c r="F205" s="22">
        <f>G205+H205+I205+J205+K205+L205+M205</f>
        <v>126915.00649999999</v>
      </c>
      <c r="G205" s="23">
        <f>G211+G223+G229+G217+G235+G241</f>
        <v>57907.921260000003</v>
      </c>
      <c r="H205" s="23">
        <f>H211+H223+H229+H217+H235+H241+H247+H253+H260+H267</f>
        <v>9023.2910800000009</v>
      </c>
      <c r="I205" s="23">
        <f>I211+I223+I229+I217+I235+I241+I247+I253+I260+I267</f>
        <v>23072.5376</v>
      </c>
      <c r="J205" s="23">
        <f>J211+J223+J260+J274+J281</f>
        <v>26212.202799999999</v>
      </c>
      <c r="K205" s="23">
        <f>K211+K223+K260+K274+K281</f>
        <v>10699.053759999999</v>
      </c>
      <c r="L205" s="23">
        <f>L211+L223+L260+L274+L281</f>
        <v>0</v>
      </c>
      <c r="M205" s="23">
        <f>M211+M223+M260+M274+M281</f>
        <v>0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41"/>
      <c r="AS205" s="42"/>
      <c r="AT205" s="42"/>
      <c r="AU205" s="42"/>
      <c r="AV205" s="42"/>
      <c r="AW205" s="42"/>
      <c r="AX205" s="42"/>
      <c r="AY205" s="42"/>
      <c r="AZ205" s="47"/>
      <c r="BA205" s="48"/>
    </row>
    <row r="206" spans="1:53" s="3" customFormat="1" ht="21.75" customHeight="1">
      <c r="A206" s="119"/>
      <c r="B206" s="119"/>
      <c r="C206" s="106"/>
      <c r="D206" s="162"/>
      <c r="E206" s="55" t="s">
        <v>69</v>
      </c>
      <c r="F206" s="22">
        <f>G206+H206+I206+J206+K206+L206+M206</f>
        <v>33312</v>
      </c>
      <c r="G206" s="23">
        <f t="shared" ref="G206:H206" si="76">G212+G224+G230+G218+G236+G242</f>
        <v>21</v>
      </c>
      <c r="H206" s="23">
        <f t="shared" si="76"/>
        <v>0</v>
      </c>
      <c r="I206" s="23">
        <f>I212+I224+I230+I218+I236+I242+I248+I254+I261+I268</f>
        <v>7</v>
      </c>
      <c r="J206" s="23">
        <f>J275+J282</f>
        <v>22752.1</v>
      </c>
      <c r="K206" s="23">
        <f>K275+K282</f>
        <v>10531.9</v>
      </c>
      <c r="L206" s="23">
        <f>L275+L282</f>
        <v>0</v>
      </c>
      <c r="M206" s="23">
        <f>M275+M282</f>
        <v>0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41"/>
      <c r="AS206" s="42"/>
      <c r="AT206" s="42"/>
      <c r="AU206" s="42"/>
      <c r="AV206" s="42"/>
      <c r="AW206" s="42"/>
      <c r="AX206" s="42"/>
      <c r="AY206" s="42"/>
      <c r="AZ206" s="47"/>
      <c r="BA206" s="48"/>
    </row>
    <row r="207" spans="1:53" s="3" customFormat="1" ht="30.75" customHeight="1">
      <c r="A207" s="119"/>
      <c r="B207" s="119"/>
      <c r="C207" s="106"/>
      <c r="D207" s="162"/>
      <c r="E207" s="21" t="s">
        <v>70</v>
      </c>
      <c r="F207" s="22">
        <f>G207+H207+I207+J207+K207+L207+M207</f>
        <v>6956.5592800000004</v>
      </c>
      <c r="G207" s="23">
        <v>0</v>
      </c>
      <c r="H207" s="23">
        <v>0</v>
      </c>
      <c r="I207" s="23">
        <f>I255</f>
        <v>6956.5592800000004</v>
      </c>
      <c r="J207" s="23">
        <f>J213+J219+J225+J231+J237+J243+J249+J255</f>
        <v>0</v>
      </c>
      <c r="K207" s="23">
        <f>K213+K219+K225+K231+K237+K243+K249+K255</f>
        <v>0</v>
      </c>
      <c r="L207" s="23">
        <f>L213+L219+L225+L231+L237+L243+L249+L255</f>
        <v>0</v>
      </c>
      <c r="M207" s="23">
        <f>M213+M219+M225+M231+M237+M243+M249+M255</f>
        <v>0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41"/>
      <c r="AS207" s="42"/>
      <c r="AT207" s="42"/>
      <c r="AU207" s="42"/>
      <c r="AV207" s="42"/>
      <c r="AW207" s="42"/>
      <c r="AX207" s="42"/>
      <c r="AY207" s="42"/>
      <c r="AZ207" s="47"/>
      <c r="BA207" s="48"/>
    </row>
    <row r="208" spans="1:53" s="3" customFormat="1" ht="21.75" customHeight="1">
      <c r="A208" s="119"/>
      <c r="B208" s="119"/>
      <c r="C208" s="106"/>
      <c r="D208" s="162"/>
      <c r="E208" s="55" t="s">
        <v>71</v>
      </c>
      <c r="F208" s="22">
        <f>G208+H208+I208+J208+K208+L208+M208</f>
        <v>29170.678540000001</v>
      </c>
      <c r="G208" s="23">
        <f t="shared" ref="G208:H208" si="77">G214+G226+G232+G220+G238+G244</f>
        <v>13350.20126</v>
      </c>
      <c r="H208" s="23">
        <f t="shared" si="77"/>
        <v>679.34127999999998</v>
      </c>
      <c r="I208" s="23">
        <f>I214+I226+I232+I220+I238+I244+I250+I256+I263+I270</f>
        <v>13837.274219999999</v>
      </c>
      <c r="J208" s="23">
        <f>J277+J284</f>
        <v>1197.4789499999999</v>
      </c>
      <c r="K208" s="23">
        <f>K277+K284</f>
        <v>106.38283</v>
      </c>
      <c r="L208" s="23">
        <f>L277+L284</f>
        <v>0</v>
      </c>
      <c r="M208" s="23">
        <f>M277+M284</f>
        <v>0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41"/>
      <c r="AS208" s="42"/>
      <c r="AT208" s="42"/>
      <c r="AU208" s="42"/>
      <c r="AV208" s="42"/>
      <c r="AW208" s="42"/>
      <c r="AX208" s="42"/>
      <c r="AY208" s="42"/>
      <c r="AZ208" s="47"/>
      <c r="BA208" s="48"/>
    </row>
    <row r="209" spans="1:53" s="3" customFormat="1" ht="21.75" customHeight="1">
      <c r="A209" s="119"/>
      <c r="B209" s="119"/>
      <c r="C209" s="106"/>
      <c r="D209" s="162"/>
      <c r="E209" s="55" t="s">
        <v>72</v>
      </c>
      <c r="F209" s="22">
        <f>G209+H209+I209+J209+K209+L209+M209</f>
        <v>57475.768680000008</v>
      </c>
      <c r="G209" s="23">
        <f t="shared" ref="G209:G210" si="78">G215+G227+G233+G221+G239+G245</f>
        <v>44536.72</v>
      </c>
      <c r="H209" s="23">
        <f>H215+H227+H233+H221+H239+H245+H251+H257+H264+H271</f>
        <v>8343.9498000000003</v>
      </c>
      <c r="I209" s="23">
        <f>I215+I227+I233+I221+I239+I245+I251+I257+I264+I271</f>
        <v>2271.7040999999999</v>
      </c>
      <c r="J209" s="23">
        <f>J227+J264+J278+J285</f>
        <v>2262.6238500000004</v>
      </c>
      <c r="K209" s="23">
        <f>K227+K264+K278+K285</f>
        <v>60.77093</v>
      </c>
      <c r="L209" s="23">
        <f>L227+L264+L278+L285</f>
        <v>0</v>
      </c>
      <c r="M209" s="23">
        <f>M227+M264+M278+M285</f>
        <v>0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41"/>
      <c r="AS209" s="42"/>
      <c r="AT209" s="42"/>
      <c r="AU209" s="42"/>
      <c r="AV209" s="42"/>
      <c r="AW209" s="42"/>
      <c r="AX209" s="42"/>
      <c r="AY209" s="42"/>
      <c r="AZ209" s="47"/>
      <c r="BA209" s="48"/>
    </row>
    <row r="210" spans="1:53" s="6" customFormat="1" ht="103.5" customHeight="1">
      <c r="A210" s="120"/>
      <c r="B210" s="120"/>
      <c r="C210" s="107"/>
      <c r="D210" s="163"/>
      <c r="E210" s="55" t="s">
        <v>73</v>
      </c>
      <c r="F210" s="22">
        <f t="shared" si="72"/>
        <v>0</v>
      </c>
      <c r="G210" s="23">
        <f t="shared" si="78"/>
        <v>0</v>
      </c>
      <c r="H210" s="23">
        <f>H216+H228+H234+H222+H240+H246</f>
        <v>0</v>
      </c>
      <c r="I210" s="23">
        <f>I216+I228+I234+I222+I240+I246</f>
        <v>0</v>
      </c>
      <c r="J210" s="23">
        <f>J216+J228+J234+J222+J240+J246</f>
        <v>0</v>
      </c>
      <c r="K210" s="35">
        <f>K216+K228+K234+K222+K240+K246</f>
        <v>0</v>
      </c>
      <c r="L210" s="35"/>
      <c r="M210" s="35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57"/>
      <c r="AS210" s="58"/>
      <c r="AT210" s="58"/>
      <c r="AU210" s="58"/>
      <c r="AV210" s="58"/>
      <c r="AW210" s="58"/>
      <c r="AX210" s="58"/>
      <c r="AY210" s="58"/>
      <c r="AZ210" s="59"/>
      <c r="BA210" s="60"/>
    </row>
    <row r="211" spans="1:53" s="3" customFormat="1" ht="21.75" customHeight="1">
      <c r="A211" s="121" t="s">
        <v>23</v>
      </c>
      <c r="B211" s="130" t="s">
        <v>175</v>
      </c>
      <c r="C211" s="105" t="s">
        <v>176</v>
      </c>
      <c r="D211" s="121" t="s">
        <v>177</v>
      </c>
      <c r="E211" s="55" t="s">
        <v>68</v>
      </c>
      <c r="F211" s="22">
        <f>G211+H211+I211+J211+K211+L211+M211</f>
        <v>29.481059999999999</v>
      </c>
      <c r="G211" s="23">
        <f t="shared" ref="G211:M211" si="79">G212+G214+G215+G216</f>
        <v>22.105260000000001</v>
      </c>
      <c r="H211" s="23">
        <f t="shared" si="79"/>
        <v>0</v>
      </c>
      <c r="I211" s="23">
        <f t="shared" si="79"/>
        <v>7.3757999999999999</v>
      </c>
      <c r="J211" s="23">
        <f t="shared" si="79"/>
        <v>0</v>
      </c>
      <c r="K211" s="23">
        <f t="shared" si="79"/>
        <v>0</v>
      </c>
      <c r="L211" s="23">
        <f t="shared" si="79"/>
        <v>0</v>
      </c>
      <c r="M211" s="23">
        <f t="shared" si="79"/>
        <v>0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41"/>
      <c r="AS211" s="42"/>
      <c r="AT211" s="42"/>
      <c r="AU211" s="42"/>
      <c r="AV211" s="42"/>
      <c r="AW211" s="42"/>
      <c r="AX211" s="42"/>
      <c r="AY211" s="42"/>
      <c r="AZ211" s="47"/>
      <c r="BA211" s="48"/>
    </row>
    <row r="212" spans="1:53" s="3" customFormat="1" ht="21.75" customHeight="1">
      <c r="A212" s="122"/>
      <c r="B212" s="136"/>
      <c r="C212" s="106"/>
      <c r="D212" s="162"/>
      <c r="E212" s="55" t="s">
        <v>69</v>
      </c>
      <c r="F212" s="22">
        <f>G212+H212+I212+J212+K212+L212+M212</f>
        <v>28</v>
      </c>
      <c r="G212" s="24">
        <v>21</v>
      </c>
      <c r="H212" s="24"/>
      <c r="I212" s="24">
        <v>7</v>
      </c>
      <c r="J212" s="24"/>
      <c r="K212" s="24">
        <v>0</v>
      </c>
      <c r="L212" s="24">
        <v>0</v>
      </c>
      <c r="M212" s="2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41"/>
      <c r="AS212" s="42"/>
      <c r="AT212" s="42"/>
      <c r="AU212" s="42"/>
      <c r="AV212" s="42"/>
      <c r="AW212" s="42"/>
      <c r="AX212" s="42"/>
      <c r="AY212" s="42"/>
      <c r="AZ212" s="47"/>
      <c r="BA212" s="48"/>
    </row>
    <row r="213" spans="1:53" s="3" customFormat="1" ht="26.25" customHeight="1">
      <c r="A213" s="122"/>
      <c r="B213" s="136"/>
      <c r="C213" s="106"/>
      <c r="D213" s="162"/>
      <c r="E213" s="21" t="s">
        <v>70</v>
      </c>
      <c r="F213" s="22">
        <f t="shared" si="72"/>
        <v>0</v>
      </c>
      <c r="G213" s="24">
        <v>0</v>
      </c>
      <c r="H213" s="24"/>
      <c r="I213" s="24">
        <v>0</v>
      </c>
      <c r="J213" s="24"/>
      <c r="K213" s="24">
        <v>0</v>
      </c>
      <c r="L213" s="24">
        <v>0</v>
      </c>
      <c r="M213" s="2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41"/>
      <c r="AS213" s="42"/>
      <c r="AT213" s="42"/>
      <c r="AU213" s="42"/>
      <c r="AV213" s="42"/>
      <c r="AW213" s="42"/>
      <c r="AX213" s="42"/>
      <c r="AY213" s="42"/>
      <c r="AZ213" s="47"/>
      <c r="BA213" s="48"/>
    </row>
    <row r="214" spans="1:53" s="3" customFormat="1" ht="21.75" customHeight="1">
      <c r="A214" s="122"/>
      <c r="B214" s="136"/>
      <c r="C214" s="106"/>
      <c r="D214" s="162"/>
      <c r="E214" s="55" t="s">
        <v>71</v>
      </c>
      <c r="F214" s="22">
        <f>G214+H214+I214+J214+K214+L214+M214</f>
        <v>1.4736800000000001</v>
      </c>
      <c r="G214" s="24">
        <v>1.1052599999999999</v>
      </c>
      <c r="H214" s="24"/>
      <c r="I214" s="24">
        <v>0.36842000000000003</v>
      </c>
      <c r="J214" s="24"/>
      <c r="K214" s="24">
        <v>0</v>
      </c>
      <c r="L214" s="24">
        <v>0</v>
      </c>
      <c r="M214" s="2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41"/>
      <c r="AS214" s="42"/>
      <c r="AT214" s="42"/>
      <c r="AU214" s="42"/>
      <c r="AV214" s="42"/>
      <c r="AW214" s="42"/>
      <c r="AX214" s="42"/>
      <c r="AY214" s="42"/>
      <c r="AZ214" s="47"/>
      <c r="BA214" s="48"/>
    </row>
    <row r="215" spans="1:53" s="3" customFormat="1" ht="21.75" customHeight="1">
      <c r="A215" s="122"/>
      <c r="B215" s="136"/>
      <c r="C215" s="106"/>
      <c r="D215" s="162"/>
      <c r="E215" s="55" t="s">
        <v>72</v>
      </c>
      <c r="F215" s="22">
        <f>G215+H215+I215+J215+K215+L215+M215</f>
        <v>7.3800000000000003E-3</v>
      </c>
      <c r="G215" s="24">
        <v>0</v>
      </c>
      <c r="H215" s="24">
        <v>0</v>
      </c>
      <c r="I215" s="24">
        <v>7.3800000000000003E-3</v>
      </c>
      <c r="J215" s="24"/>
      <c r="K215" s="24">
        <v>0</v>
      </c>
      <c r="L215" s="24">
        <v>0</v>
      </c>
      <c r="M215" s="2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41"/>
      <c r="AS215" s="42"/>
      <c r="AT215" s="42"/>
      <c r="AU215" s="42"/>
      <c r="AV215" s="42"/>
      <c r="AW215" s="42"/>
      <c r="AX215" s="42"/>
      <c r="AY215" s="42"/>
      <c r="AZ215" s="47"/>
      <c r="BA215" s="48"/>
    </row>
    <row r="216" spans="1:53" s="6" customFormat="1" ht="52.5" customHeight="1">
      <c r="A216" s="123"/>
      <c r="B216" s="137"/>
      <c r="C216" s="107"/>
      <c r="D216" s="163"/>
      <c r="E216" s="55" t="s">
        <v>73</v>
      </c>
      <c r="F216" s="22">
        <f t="shared" si="72"/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57"/>
      <c r="AS216" s="58"/>
      <c r="AT216" s="58"/>
      <c r="AU216" s="58"/>
      <c r="AV216" s="58"/>
      <c r="AW216" s="58"/>
      <c r="AX216" s="58"/>
      <c r="AY216" s="58"/>
      <c r="AZ216" s="59"/>
      <c r="BA216" s="60"/>
    </row>
    <row r="217" spans="1:53" s="6" customFormat="1" ht="21.75" customHeight="1">
      <c r="A217" s="121" t="s">
        <v>24</v>
      </c>
      <c r="B217" s="130" t="s">
        <v>178</v>
      </c>
      <c r="C217" s="105">
        <v>2022</v>
      </c>
      <c r="D217" s="121" t="s">
        <v>179</v>
      </c>
      <c r="E217" s="55" t="s">
        <v>68</v>
      </c>
      <c r="F217" s="22">
        <f>G217+H217+I217+J217+K217+L217+M217</f>
        <v>14051.68</v>
      </c>
      <c r="G217" s="23">
        <f>G218+G220+G221+G222</f>
        <v>14051.68</v>
      </c>
      <c r="H217" s="23">
        <f>H218+H220+H221+H222</f>
        <v>0</v>
      </c>
      <c r="I217" s="23">
        <f>I218+I220+I221+I222</f>
        <v>0</v>
      </c>
      <c r="J217" s="23">
        <f>J218+J220+J221+J222</f>
        <v>0</v>
      </c>
      <c r="K217" s="23">
        <f t="shared" ref="K217:M217" si="80">K218+K220+K221+K222</f>
        <v>0</v>
      </c>
      <c r="L217" s="23">
        <f t="shared" si="80"/>
        <v>0</v>
      </c>
      <c r="M217" s="23">
        <f t="shared" si="80"/>
        <v>0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57"/>
      <c r="AS217" s="58"/>
      <c r="AT217" s="58"/>
      <c r="AU217" s="58"/>
      <c r="AV217" s="58"/>
      <c r="AW217" s="58"/>
      <c r="AX217" s="58"/>
      <c r="AY217" s="58"/>
      <c r="AZ217" s="59"/>
      <c r="BA217" s="60"/>
    </row>
    <row r="218" spans="1:53" s="6" customFormat="1" ht="21.75" customHeight="1">
      <c r="A218" s="122"/>
      <c r="B218" s="136"/>
      <c r="C218" s="106"/>
      <c r="D218" s="164"/>
      <c r="E218" s="55" t="s">
        <v>69</v>
      </c>
      <c r="F218" s="22">
        <f t="shared" si="72"/>
        <v>0</v>
      </c>
      <c r="G218" s="26"/>
      <c r="H218" s="26">
        <v>0</v>
      </c>
      <c r="I218" s="24">
        <v>0</v>
      </c>
      <c r="J218" s="24">
        <v>0</v>
      </c>
      <c r="K218" s="24">
        <v>0</v>
      </c>
      <c r="L218" s="24">
        <v>0</v>
      </c>
      <c r="M218" s="24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57"/>
      <c r="AS218" s="58"/>
      <c r="AT218" s="58"/>
      <c r="AU218" s="58"/>
      <c r="AV218" s="58"/>
      <c r="AW218" s="58"/>
      <c r="AX218" s="58"/>
      <c r="AY218" s="58"/>
      <c r="AZ218" s="59"/>
      <c r="BA218" s="60"/>
    </row>
    <row r="219" spans="1:53" s="6" customFormat="1" ht="29.25" customHeight="1">
      <c r="A219" s="122"/>
      <c r="B219" s="136"/>
      <c r="C219" s="106"/>
      <c r="D219" s="164"/>
      <c r="E219" s="21" t="s">
        <v>70</v>
      </c>
      <c r="F219" s="22">
        <f t="shared" si="72"/>
        <v>0</v>
      </c>
      <c r="G219" s="24"/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57"/>
      <c r="AS219" s="58"/>
      <c r="AT219" s="58"/>
      <c r="AU219" s="58"/>
      <c r="AV219" s="58"/>
      <c r="AW219" s="58"/>
      <c r="AX219" s="58"/>
      <c r="AY219" s="58"/>
      <c r="AZ219" s="59"/>
      <c r="BA219" s="60"/>
    </row>
    <row r="220" spans="1:53" s="6" customFormat="1" ht="21.75" customHeight="1">
      <c r="A220" s="122"/>
      <c r="B220" s="136"/>
      <c r="C220" s="106"/>
      <c r="D220" s="164"/>
      <c r="E220" s="55" t="s">
        <v>71</v>
      </c>
      <c r="F220" s="22">
        <f>G220+H220+I220+J220+K220+L220+M220</f>
        <v>13349.096</v>
      </c>
      <c r="G220" s="26">
        <v>13349.096</v>
      </c>
      <c r="H220" s="26"/>
      <c r="I220" s="24">
        <v>0</v>
      </c>
      <c r="J220" s="24">
        <v>0</v>
      </c>
      <c r="K220" s="24">
        <v>0</v>
      </c>
      <c r="L220" s="24">
        <v>0</v>
      </c>
      <c r="M220" s="24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57"/>
      <c r="AS220" s="58"/>
      <c r="AT220" s="58"/>
      <c r="AU220" s="58"/>
      <c r="AV220" s="58"/>
      <c r="AW220" s="58"/>
      <c r="AX220" s="58"/>
      <c r="AY220" s="58"/>
      <c r="AZ220" s="59"/>
      <c r="BA220" s="60"/>
    </row>
    <row r="221" spans="1:53" s="6" customFormat="1" ht="21.75" customHeight="1">
      <c r="A221" s="122"/>
      <c r="B221" s="136"/>
      <c r="C221" s="106"/>
      <c r="D221" s="164"/>
      <c r="E221" s="55" t="s">
        <v>72</v>
      </c>
      <c r="F221" s="22">
        <f>G221+H221+I221+J221+K221+L221+M221</f>
        <v>702.58399999999995</v>
      </c>
      <c r="G221" s="26">
        <v>702.58399999999995</v>
      </c>
      <c r="H221" s="26"/>
      <c r="I221" s="24">
        <v>0</v>
      </c>
      <c r="J221" s="24">
        <v>0</v>
      </c>
      <c r="K221" s="24">
        <v>0</v>
      </c>
      <c r="L221" s="24">
        <v>0</v>
      </c>
      <c r="M221" s="24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57"/>
      <c r="AS221" s="58"/>
      <c r="AT221" s="58"/>
      <c r="AU221" s="58"/>
      <c r="AV221" s="58"/>
      <c r="AW221" s="58"/>
      <c r="AX221" s="58"/>
      <c r="AY221" s="58"/>
      <c r="AZ221" s="59"/>
      <c r="BA221" s="60"/>
    </row>
    <row r="222" spans="1:53" s="6" customFormat="1" ht="21.75" customHeight="1">
      <c r="A222" s="123"/>
      <c r="B222" s="137"/>
      <c r="C222" s="107"/>
      <c r="D222" s="165"/>
      <c r="E222" s="55" t="s">
        <v>73</v>
      </c>
      <c r="F222" s="22">
        <f t="shared" si="72"/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57"/>
      <c r="AS222" s="58"/>
      <c r="AT222" s="58"/>
      <c r="AU222" s="58"/>
      <c r="AV222" s="58"/>
      <c r="AW222" s="58"/>
      <c r="AX222" s="58"/>
      <c r="AY222" s="58"/>
      <c r="AZ222" s="59"/>
      <c r="BA222" s="60"/>
    </row>
    <row r="223" spans="1:53" s="3" customFormat="1" ht="21.75" customHeight="1">
      <c r="A223" s="121" t="s">
        <v>25</v>
      </c>
      <c r="B223" s="130" t="s">
        <v>180</v>
      </c>
      <c r="C223" s="105" t="s">
        <v>173</v>
      </c>
      <c r="D223" s="121" t="s">
        <v>181</v>
      </c>
      <c r="E223" s="55" t="s">
        <v>68</v>
      </c>
      <c r="F223" s="22">
        <f>G223+H223+I223+J223+K223+L223+M223</f>
        <v>41142.385300000002</v>
      </c>
      <c r="G223" s="23">
        <f t="shared" ref="G223:I223" si="81">G224+G226+G227+G228</f>
        <v>31058.942999999999</v>
      </c>
      <c r="H223" s="23">
        <f t="shared" si="81"/>
        <v>6808.1949999999997</v>
      </c>
      <c r="I223" s="23">
        <f t="shared" si="81"/>
        <v>1536.4749999999999</v>
      </c>
      <c r="J223" s="23">
        <f t="shared" ref="J223:M223" si="82">J224+J226+J227+J228</f>
        <v>1688.6503</v>
      </c>
      <c r="K223" s="35">
        <f t="shared" si="82"/>
        <v>50.122</v>
      </c>
      <c r="L223" s="35">
        <f t="shared" si="82"/>
        <v>0</v>
      </c>
      <c r="M223" s="35">
        <f t="shared" si="82"/>
        <v>0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41"/>
      <c r="AS223" s="42"/>
      <c r="AT223" s="42"/>
      <c r="AU223" s="42"/>
      <c r="AV223" s="42"/>
      <c r="AW223" s="42"/>
      <c r="AX223" s="42"/>
      <c r="AY223" s="42"/>
      <c r="AZ223" s="47"/>
      <c r="BA223" s="48"/>
    </row>
    <row r="224" spans="1:53" s="3" customFormat="1" ht="21.75" customHeight="1">
      <c r="A224" s="122"/>
      <c r="B224" s="136"/>
      <c r="C224" s="106"/>
      <c r="D224" s="162"/>
      <c r="E224" s="55" t="s">
        <v>69</v>
      </c>
      <c r="F224" s="22">
        <f t="shared" si="72"/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41"/>
      <c r="AS224" s="42"/>
      <c r="AT224" s="42"/>
      <c r="AU224" s="42"/>
      <c r="AV224" s="42"/>
      <c r="AW224" s="42"/>
      <c r="AX224" s="42"/>
      <c r="AY224" s="42"/>
      <c r="AZ224" s="47"/>
      <c r="BA224" s="48"/>
    </row>
    <row r="225" spans="1:53" s="3" customFormat="1" ht="28.5" customHeight="1">
      <c r="A225" s="122"/>
      <c r="B225" s="136"/>
      <c r="C225" s="106"/>
      <c r="D225" s="162"/>
      <c r="E225" s="21" t="s">
        <v>70</v>
      </c>
      <c r="F225" s="22">
        <f t="shared" si="72"/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41"/>
      <c r="AS225" s="42"/>
      <c r="AT225" s="42"/>
      <c r="AU225" s="42"/>
      <c r="AV225" s="42"/>
      <c r="AW225" s="42"/>
      <c r="AX225" s="42"/>
      <c r="AY225" s="42"/>
      <c r="AZ225" s="47"/>
      <c r="BA225" s="48"/>
    </row>
    <row r="226" spans="1:53" s="3" customFormat="1" ht="21.75" customHeight="1">
      <c r="A226" s="122"/>
      <c r="B226" s="136"/>
      <c r="C226" s="106"/>
      <c r="D226" s="162"/>
      <c r="E226" s="55" t="s">
        <v>71</v>
      </c>
      <c r="F226" s="22">
        <f t="shared" si="72"/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41"/>
      <c r="AS226" s="42"/>
      <c r="AT226" s="42"/>
      <c r="AU226" s="42"/>
      <c r="AV226" s="42"/>
      <c r="AW226" s="42"/>
      <c r="AX226" s="42"/>
      <c r="AY226" s="42"/>
      <c r="AZ226" s="47"/>
      <c r="BA226" s="48"/>
    </row>
    <row r="227" spans="1:53" s="3" customFormat="1" ht="21.75" customHeight="1">
      <c r="A227" s="122"/>
      <c r="B227" s="136"/>
      <c r="C227" s="106"/>
      <c r="D227" s="162"/>
      <c r="E227" s="55" t="s">
        <v>72</v>
      </c>
      <c r="F227" s="22">
        <f>G227+H227+I227+J227+K227+L227+M227</f>
        <v>41142.385300000002</v>
      </c>
      <c r="G227" s="26">
        <v>31058.942999999999</v>
      </c>
      <c r="H227" s="26">
        <f>6808.195</f>
        <v>6808.1949999999997</v>
      </c>
      <c r="I227" s="26">
        <v>1536.4749999999999</v>
      </c>
      <c r="J227" s="26">
        <v>1688.6503</v>
      </c>
      <c r="K227" s="26">
        <v>50.122</v>
      </c>
      <c r="L227" s="26">
        <v>0</v>
      </c>
      <c r="M227" s="2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41"/>
      <c r="AS227" s="42"/>
      <c r="AT227" s="42"/>
      <c r="AU227" s="42"/>
      <c r="AV227" s="42"/>
      <c r="AW227" s="42"/>
      <c r="AX227" s="42"/>
      <c r="AY227" s="42"/>
      <c r="AZ227" s="47"/>
      <c r="BA227" s="48"/>
    </row>
    <row r="228" spans="1:53" s="6" customFormat="1" ht="105" customHeight="1">
      <c r="A228" s="123"/>
      <c r="B228" s="137"/>
      <c r="C228" s="107"/>
      <c r="D228" s="163"/>
      <c r="E228" s="55" t="s">
        <v>73</v>
      </c>
      <c r="F228" s="22">
        <f t="shared" si="72"/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57"/>
      <c r="AS228" s="58"/>
      <c r="AT228" s="58"/>
      <c r="AU228" s="58"/>
      <c r="AV228" s="58"/>
      <c r="AW228" s="58"/>
      <c r="AX228" s="58"/>
      <c r="AY228" s="58"/>
      <c r="AZ228" s="59"/>
      <c r="BA228" s="60"/>
    </row>
    <row r="229" spans="1:53" s="3" customFormat="1" ht="21.75" customHeight="1">
      <c r="A229" s="121" t="s">
        <v>26</v>
      </c>
      <c r="B229" s="133" t="s">
        <v>182</v>
      </c>
      <c r="C229" s="105">
        <v>2022</v>
      </c>
      <c r="D229" s="121" t="s">
        <v>183</v>
      </c>
      <c r="E229" s="55" t="s">
        <v>68</v>
      </c>
      <c r="F229" s="22">
        <f>G229+H229+I229+J229+K229+L229+M229</f>
        <v>5971.5479999999998</v>
      </c>
      <c r="G229" s="23">
        <f>G230+G232+G233+G234</f>
        <v>5971.5479999999998</v>
      </c>
      <c r="H229" s="23">
        <f t="shared" ref="H229:M229" si="83">H230+H232+H233+H234</f>
        <v>0</v>
      </c>
      <c r="I229" s="23">
        <f t="shared" si="83"/>
        <v>0</v>
      </c>
      <c r="J229" s="23">
        <f t="shared" si="83"/>
        <v>0</v>
      </c>
      <c r="K229" s="23">
        <f t="shared" si="83"/>
        <v>0</v>
      </c>
      <c r="L229" s="23">
        <f t="shared" si="83"/>
        <v>0</v>
      </c>
      <c r="M229" s="23">
        <f t="shared" si="83"/>
        <v>0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41"/>
      <c r="AS229" s="42"/>
      <c r="AT229" s="42"/>
      <c r="AU229" s="42"/>
      <c r="AV229" s="42"/>
      <c r="AW229" s="42"/>
      <c r="AX229" s="42"/>
      <c r="AY229" s="42"/>
      <c r="AZ229" s="47"/>
      <c r="BA229" s="48"/>
    </row>
    <row r="230" spans="1:53" s="3" customFormat="1" ht="21.75" customHeight="1">
      <c r="A230" s="122"/>
      <c r="B230" s="136"/>
      <c r="C230" s="106"/>
      <c r="D230" s="164"/>
      <c r="E230" s="55" t="s">
        <v>69</v>
      </c>
      <c r="F230" s="22">
        <f t="shared" si="72"/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41"/>
      <c r="AS230" s="42"/>
      <c r="AT230" s="42"/>
      <c r="AU230" s="42"/>
      <c r="AV230" s="42"/>
      <c r="AW230" s="42"/>
      <c r="AX230" s="42"/>
      <c r="AY230" s="42"/>
      <c r="AZ230" s="47"/>
      <c r="BA230" s="48"/>
    </row>
    <row r="231" spans="1:53" s="3" customFormat="1" ht="31.5" customHeight="1">
      <c r="A231" s="122"/>
      <c r="B231" s="136"/>
      <c r="C231" s="106"/>
      <c r="D231" s="164"/>
      <c r="E231" s="21" t="s">
        <v>70</v>
      </c>
      <c r="F231" s="22">
        <f t="shared" si="72"/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41"/>
      <c r="AS231" s="42"/>
      <c r="AT231" s="42"/>
      <c r="AU231" s="42"/>
      <c r="AV231" s="42"/>
      <c r="AW231" s="42"/>
      <c r="AX231" s="42"/>
      <c r="AY231" s="42"/>
      <c r="AZ231" s="47"/>
      <c r="BA231" s="48"/>
    </row>
    <row r="232" spans="1:53" s="3" customFormat="1" ht="21.75" customHeight="1">
      <c r="A232" s="122"/>
      <c r="B232" s="136"/>
      <c r="C232" s="106"/>
      <c r="D232" s="164"/>
      <c r="E232" s="55" t="s">
        <v>71</v>
      </c>
      <c r="F232" s="22">
        <f t="shared" si="72"/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41"/>
      <c r="AS232" s="42"/>
      <c r="AT232" s="42"/>
      <c r="AU232" s="42"/>
      <c r="AV232" s="42"/>
      <c r="AW232" s="42"/>
      <c r="AX232" s="42"/>
      <c r="AY232" s="42"/>
      <c r="AZ232" s="47"/>
      <c r="BA232" s="48"/>
    </row>
    <row r="233" spans="1:53" s="3" customFormat="1" ht="21.75" customHeight="1">
      <c r="A233" s="122"/>
      <c r="B233" s="136"/>
      <c r="C233" s="106"/>
      <c r="D233" s="164"/>
      <c r="E233" s="55" t="s">
        <v>72</v>
      </c>
      <c r="F233" s="22">
        <f>G233+H233+I233+J233+K233+L233+M233</f>
        <v>5971.5479999999998</v>
      </c>
      <c r="G233" s="26">
        <v>5971.5479999999998</v>
      </c>
      <c r="H233" s="26"/>
      <c r="I233" s="24">
        <f>5638.582-2014.58332-3623.99868</f>
        <v>0</v>
      </c>
      <c r="J233" s="24">
        <v>0</v>
      </c>
      <c r="K233" s="24">
        <v>0</v>
      </c>
      <c r="L233" s="24">
        <v>0</v>
      </c>
      <c r="M233" s="2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41"/>
      <c r="AS233" s="42"/>
      <c r="AT233" s="42"/>
      <c r="AU233" s="42"/>
      <c r="AV233" s="42"/>
      <c r="AW233" s="42"/>
      <c r="AX233" s="42"/>
      <c r="AY233" s="42"/>
      <c r="AZ233" s="47"/>
      <c r="BA233" s="48"/>
    </row>
    <row r="234" spans="1:53" s="6" customFormat="1" ht="20.25" customHeight="1">
      <c r="A234" s="123"/>
      <c r="B234" s="137"/>
      <c r="C234" s="107"/>
      <c r="D234" s="165"/>
      <c r="E234" s="55" t="s">
        <v>73</v>
      </c>
      <c r="F234" s="22">
        <f t="shared" ref="F234:F250" si="84">G234+H234+I234+J234+K234+L234</f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57"/>
      <c r="AS234" s="58"/>
      <c r="AT234" s="58"/>
      <c r="AU234" s="58"/>
      <c r="AV234" s="58"/>
      <c r="AW234" s="58"/>
      <c r="AX234" s="58"/>
      <c r="AY234" s="58"/>
      <c r="AZ234" s="59"/>
      <c r="BA234" s="60"/>
    </row>
    <row r="235" spans="1:53" s="3" customFormat="1" ht="21.75" customHeight="1">
      <c r="A235" s="121" t="s">
        <v>184</v>
      </c>
      <c r="B235" s="138" t="s">
        <v>185</v>
      </c>
      <c r="C235" s="153">
        <v>2022</v>
      </c>
      <c r="D235" s="121" t="s">
        <v>186</v>
      </c>
      <c r="E235" s="55" t="s">
        <v>68</v>
      </c>
      <c r="F235" s="22">
        <f>G235+H235+I235+J235+K235+L235+M235</f>
        <v>6803.6450000000004</v>
      </c>
      <c r="G235" s="23">
        <f>G236+G238+G239+G240</f>
        <v>6803.6450000000004</v>
      </c>
      <c r="H235" s="23">
        <f>H236+H238+H239+H240</f>
        <v>0</v>
      </c>
      <c r="I235" s="23">
        <f>I236+I238+I239+I240</f>
        <v>0</v>
      </c>
      <c r="J235" s="23">
        <v>0</v>
      </c>
      <c r="K235" s="23">
        <v>0</v>
      </c>
      <c r="L235" s="23">
        <v>0</v>
      </c>
      <c r="M235" s="23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41"/>
      <c r="AS235" s="42"/>
      <c r="AT235" s="42"/>
      <c r="AU235" s="42"/>
      <c r="AV235" s="42"/>
      <c r="AW235" s="42"/>
      <c r="AX235" s="42"/>
      <c r="AY235" s="42"/>
      <c r="AZ235" s="47"/>
      <c r="BA235" s="48"/>
    </row>
    <row r="236" spans="1:53" s="3" customFormat="1" ht="21.75" customHeight="1">
      <c r="A236" s="122"/>
      <c r="B236" s="139"/>
      <c r="C236" s="154"/>
      <c r="D236" s="122"/>
      <c r="E236" s="55" t="s">
        <v>69</v>
      </c>
      <c r="F236" s="22">
        <f t="shared" si="84"/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41"/>
      <c r="AS236" s="42"/>
      <c r="AT236" s="42"/>
      <c r="AU236" s="42"/>
      <c r="AV236" s="42"/>
      <c r="AW236" s="42"/>
      <c r="AX236" s="42"/>
      <c r="AY236" s="42"/>
      <c r="AZ236" s="47"/>
      <c r="BA236" s="48"/>
    </row>
    <row r="237" spans="1:53" s="3" customFormat="1" ht="27.75" customHeight="1">
      <c r="A237" s="122"/>
      <c r="B237" s="139"/>
      <c r="C237" s="154"/>
      <c r="D237" s="122"/>
      <c r="E237" s="21" t="s">
        <v>70</v>
      </c>
      <c r="F237" s="22">
        <f t="shared" si="84"/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41"/>
      <c r="AS237" s="42"/>
      <c r="AT237" s="42"/>
      <c r="AU237" s="42"/>
      <c r="AV237" s="42"/>
      <c r="AW237" s="42"/>
      <c r="AX237" s="42"/>
      <c r="AY237" s="42"/>
      <c r="AZ237" s="47"/>
      <c r="BA237" s="48"/>
    </row>
    <row r="238" spans="1:53" s="3" customFormat="1" ht="21.75" customHeight="1">
      <c r="A238" s="122"/>
      <c r="B238" s="139"/>
      <c r="C238" s="154"/>
      <c r="D238" s="122"/>
      <c r="E238" s="55" t="s">
        <v>71</v>
      </c>
      <c r="F238" s="22">
        <f t="shared" si="84"/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41"/>
      <c r="AS238" s="42"/>
      <c r="AT238" s="42"/>
      <c r="AU238" s="42"/>
      <c r="AV238" s="42"/>
      <c r="AW238" s="42"/>
      <c r="AX238" s="42"/>
      <c r="AY238" s="42"/>
      <c r="AZ238" s="47"/>
      <c r="BA238" s="48"/>
    </row>
    <row r="239" spans="1:53" s="3" customFormat="1" ht="21.75" customHeight="1">
      <c r="A239" s="122"/>
      <c r="B239" s="139"/>
      <c r="C239" s="154"/>
      <c r="D239" s="122"/>
      <c r="E239" s="55" t="s">
        <v>72</v>
      </c>
      <c r="F239" s="22">
        <f>G239</f>
        <v>6803.6450000000004</v>
      </c>
      <c r="G239" s="26">
        <v>6803.6450000000004</v>
      </c>
      <c r="H239" s="26"/>
      <c r="I239" s="26">
        <v>0</v>
      </c>
      <c r="J239" s="26">
        <v>0</v>
      </c>
      <c r="K239" s="26">
        <v>0</v>
      </c>
      <c r="L239" s="26">
        <v>0</v>
      </c>
      <c r="M239" s="24" t="s">
        <v>187</v>
      </c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41"/>
      <c r="AS239" s="42"/>
      <c r="AT239" s="42"/>
      <c r="AU239" s="42"/>
      <c r="AV239" s="42"/>
      <c r="AW239" s="42"/>
      <c r="AX239" s="42"/>
      <c r="AY239" s="42"/>
      <c r="AZ239" s="47"/>
      <c r="BA239" s="48"/>
    </row>
    <row r="240" spans="1:53" s="6" customFormat="1" ht="18" customHeight="1">
      <c r="A240" s="123"/>
      <c r="B240" s="140"/>
      <c r="C240" s="155"/>
      <c r="D240" s="123"/>
      <c r="E240" s="55" t="s">
        <v>73</v>
      </c>
      <c r="F240" s="22">
        <f t="shared" si="84"/>
        <v>0</v>
      </c>
      <c r="G240" s="24">
        <v>0</v>
      </c>
      <c r="H240" s="24">
        <v>0</v>
      </c>
      <c r="I240" s="24">
        <v>0</v>
      </c>
      <c r="J240" s="24">
        <v>0</v>
      </c>
      <c r="K240" s="24">
        <v>0</v>
      </c>
      <c r="L240" s="24">
        <v>0</v>
      </c>
      <c r="M240" s="24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57"/>
      <c r="AS240" s="58"/>
      <c r="AT240" s="58"/>
      <c r="AU240" s="58"/>
      <c r="AV240" s="58"/>
      <c r="AW240" s="58"/>
      <c r="AX240" s="58"/>
      <c r="AY240" s="58"/>
      <c r="AZ240" s="59"/>
      <c r="BA240" s="60"/>
    </row>
    <row r="241" spans="1:53" s="3" customFormat="1" ht="21.75" customHeight="1">
      <c r="A241" s="121" t="s">
        <v>188</v>
      </c>
      <c r="B241" s="130" t="s">
        <v>189</v>
      </c>
      <c r="C241" s="105">
        <v>2023</v>
      </c>
      <c r="D241" s="121" t="s">
        <v>190</v>
      </c>
      <c r="E241" s="55" t="s">
        <v>68</v>
      </c>
      <c r="F241" s="22">
        <f>G241+H241+I241+J241+K241+L241+M241</f>
        <v>715.09608000000003</v>
      </c>
      <c r="G241" s="23">
        <f>G242+G244+G245+G246</f>
        <v>0</v>
      </c>
      <c r="H241" s="23">
        <f>H242+H244+H245+H246</f>
        <v>715.09608000000003</v>
      </c>
      <c r="I241" s="23">
        <f>I242+I244+I245+I246</f>
        <v>0</v>
      </c>
      <c r="J241" s="23">
        <f>J242+J244+J245+J246</f>
        <v>0</v>
      </c>
      <c r="K241" s="23">
        <f t="shared" ref="K241:M241" si="85">K242+K244+K245+K246</f>
        <v>0</v>
      </c>
      <c r="L241" s="23">
        <f t="shared" si="85"/>
        <v>0</v>
      </c>
      <c r="M241" s="23">
        <f t="shared" si="85"/>
        <v>0</v>
      </c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41"/>
      <c r="AS241" s="42"/>
      <c r="AT241" s="42"/>
      <c r="AU241" s="42"/>
      <c r="AV241" s="42"/>
      <c r="AW241" s="42"/>
      <c r="AX241" s="42"/>
      <c r="AY241" s="42"/>
      <c r="AZ241" s="47"/>
      <c r="BA241" s="48"/>
    </row>
    <row r="242" spans="1:53" s="3" customFormat="1" ht="21.75" customHeight="1">
      <c r="A242" s="122"/>
      <c r="B242" s="136"/>
      <c r="C242" s="106"/>
      <c r="D242" s="162"/>
      <c r="E242" s="55" t="s">
        <v>69</v>
      </c>
      <c r="F242" s="22">
        <f t="shared" si="84"/>
        <v>0</v>
      </c>
      <c r="G242" s="24">
        <v>0</v>
      </c>
      <c r="H242" s="24">
        <v>0</v>
      </c>
      <c r="I242" s="24"/>
      <c r="J242" s="24">
        <v>0</v>
      </c>
      <c r="K242" s="24">
        <v>0</v>
      </c>
      <c r="L242" s="24">
        <v>0</v>
      </c>
      <c r="M242" s="2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41"/>
      <c r="AS242" s="42"/>
      <c r="AT242" s="42"/>
      <c r="AU242" s="42"/>
      <c r="AV242" s="42"/>
      <c r="AW242" s="42"/>
      <c r="AX242" s="42"/>
      <c r="AY242" s="42"/>
      <c r="AZ242" s="47"/>
      <c r="BA242" s="48"/>
    </row>
    <row r="243" spans="1:53" s="3" customFormat="1" ht="30" customHeight="1">
      <c r="A243" s="122"/>
      <c r="B243" s="136"/>
      <c r="C243" s="106"/>
      <c r="D243" s="162"/>
      <c r="E243" s="21" t="s">
        <v>70</v>
      </c>
      <c r="F243" s="22">
        <f t="shared" si="84"/>
        <v>0</v>
      </c>
      <c r="G243" s="24">
        <v>0</v>
      </c>
      <c r="H243" s="24">
        <v>0</v>
      </c>
      <c r="I243" s="24">
        <v>0</v>
      </c>
      <c r="J243" s="24">
        <v>0</v>
      </c>
      <c r="K243" s="24">
        <v>0</v>
      </c>
      <c r="L243" s="24">
        <v>0</v>
      </c>
      <c r="M243" s="2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41"/>
      <c r="AS243" s="42"/>
      <c r="AT243" s="42"/>
      <c r="AU243" s="42"/>
      <c r="AV243" s="42"/>
      <c r="AW243" s="42"/>
      <c r="AX243" s="42"/>
      <c r="AY243" s="42"/>
      <c r="AZ243" s="47"/>
      <c r="BA243" s="48"/>
    </row>
    <row r="244" spans="1:53" s="3" customFormat="1" ht="21.75" customHeight="1">
      <c r="A244" s="122"/>
      <c r="B244" s="136"/>
      <c r="C244" s="106"/>
      <c r="D244" s="162"/>
      <c r="E244" s="55" t="s">
        <v>71</v>
      </c>
      <c r="F244" s="22">
        <f>G244+H244+I244+J244+K244+L244+M244</f>
        <v>679.34127999999998</v>
      </c>
      <c r="G244" s="24">
        <v>0</v>
      </c>
      <c r="H244" s="36">
        <v>679.34127999999998</v>
      </c>
      <c r="I244" s="36"/>
      <c r="J244" s="24">
        <v>0</v>
      </c>
      <c r="K244" s="24">
        <v>0</v>
      </c>
      <c r="L244" s="24">
        <v>0</v>
      </c>
      <c r="M244" s="2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41"/>
      <c r="AS244" s="42"/>
      <c r="AT244" s="42"/>
      <c r="AU244" s="42"/>
      <c r="AV244" s="42"/>
      <c r="AW244" s="42"/>
      <c r="AX244" s="42"/>
      <c r="AY244" s="42"/>
      <c r="AZ244" s="47"/>
      <c r="BA244" s="48"/>
    </row>
    <row r="245" spans="1:53" s="3" customFormat="1" ht="21.75" customHeight="1">
      <c r="A245" s="122"/>
      <c r="B245" s="136"/>
      <c r="C245" s="106"/>
      <c r="D245" s="162"/>
      <c r="E245" s="55" t="s">
        <v>72</v>
      </c>
      <c r="F245" s="22">
        <f>G245+H245+I245+J245+K245+L245+M245</f>
        <v>35.754800000000003</v>
      </c>
      <c r="G245" s="24">
        <v>0</v>
      </c>
      <c r="H245" s="36">
        <v>35.754800000000003</v>
      </c>
      <c r="I245" s="36"/>
      <c r="J245" s="24">
        <v>0</v>
      </c>
      <c r="K245" s="24">
        <v>0</v>
      </c>
      <c r="L245" s="24">
        <v>0</v>
      </c>
      <c r="M245" s="2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41"/>
      <c r="AS245" s="42"/>
      <c r="AT245" s="42"/>
      <c r="AU245" s="42"/>
      <c r="AV245" s="42"/>
      <c r="AW245" s="42"/>
      <c r="AX245" s="42"/>
      <c r="AY245" s="42"/>
      <c r="AZ245" s="47"/>
      <c r="BA245" s="48"/>
    </row>
    <row r="246" spans="1:53" s="6" customFormat="1" ht="21.75" customHeight="1">
      <c r="A246" s="123"/>
      <c r="B246" s="137"/>
      <c r="C246" s="107"/>
      <c r="D246" s="163"/>
      <c r="E246" s="55" t="s">
        <v>73</v>
      </c>
      <c r="F246" s="22">
        <f t="shared" si="84"/>
        <v>0</v>
      </c>
      <c r="G246" s="24">
        <v>0</v>
      </c>
      <c r="H246" s="24">
        <v>0</v>
      </c>
      <c r="I246" s="24">
        <v>0</v>
      </c>
      <c r="J246" s="24">
        <v>0</v>
      </c>
      <c r="K246" s="24">
        <v>0</v>
      </c>
      <c r="L246" s="24">
        <v>0</v>
      </c>
      <c r="M246" s="24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57"/>
      <c r="AS246" s="58"/>
      <c r="AT246" s="58"/>
      <c r="AU246" s="58"/>
      <c r="AV246" s="58"/>
      <c r="AW246" s="58"/>
      <c r="AX246" s="58"/>
      <c r="AY246" s="58"/>
      <c r="AZ246" s="59"/>
      <c r="BA246" s="60"/>
    </row>
    <row r="247" spans="1:53" s="3" customFormat="1" ht="21.75" customHeight="1">
      <c r="A247" s="121" t="s">
        <v>191</v>
      </c>
      <c r="B247" s="130" t="s">
        <v>192</v>
      </c>
      <c r="C247" s="105">
        <v>2023</v>
      </c>
      <c r="D247" s="121" t="s">
        <v>193</v>
      </c>
      <c r="E247" s="55" t="s">
        <v>68</v>
      </c>
      <c r="F247" s="22">
        <f>G247+H247+I247+J247+K247+L247+M247</f>
        <v>1500</v>
      </c>
      <c r="G247" s="23">
        <f>G248+G250+G251+G252</f>
        <v>0</v>
      </c>
      <c r="H247" s="23">
        <f>H248+H250+H251+H252</f>
        <v>1500</v>
      </c>
      <c r="I247" s="23">
        <f>I248+I250+I251+I252</f>
        <v>0</v>
      </c>
      <c r="J247" s="23">
        <f>J248+J250+J251+J252</f>
        <v>0</v>
      </c>
      <c r="K247" s="23">
        <f t="shared" ref="K247:M247" si="86">K248+K250+K251+K252</f>
        <v>0</v>
      </c>
      <c r="L247" s="23">
        <f t="shared" si="86"/>
        <v>0</v>
      </c>
      <c r="M247" s="23">
        <f t="shared" si="86"/>
        <v>0</v>
      </c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41"/>
      <c r="AS247" s="42"/>
      <c r="AT247" s="42"/>
      <c r="AU247" s="42"/>
      <c r="AV247" s="42"/>
      <c r="AW247" s="42"/>
      <c r="AX247" s="42"/>
      <c r="AY247" s="42"/>
      <c r="AZ247" s="47"/>
      <c r="BA247" s="48"/>
    </row>
    <row r="248" spans="1:53" s="3" customFormat="1" ht="21.75" customHeight="1">
      <c r="A248" s="122"/>
      <c r="B248" s="136"/>
      <c r="C248" s="106"/>
      <c r="D248" s="162"/>
      <c r="E248" s="55" t="s">
        <v>69</v>
      </c>
      <c r="F248" s="22">
        <f t="shared" si="84"/>
        <v>0</v>
      </c>
      <c r="G248" s="24">
        <v>0</v>
      </c>
      <c r="H248" s="24">
        <v>0</v>
      </c>
      <c r="I248" s="24">
        <v>0</v>
      </c>
      <c r="J248" s="24">
        <v>0</v>
      </c>
      <c r="K248" s="24">
        <v>0</v>
      </c>
      <c r="L248" s="24">
        <v>0</v>
      </c>
      <c r="M248" s="2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41"/>
      <c r="AS248" s="42"/>
      <c r="AT248" s="42"/>
      <c r="AU248" s="42"/>
      <c r="AV248" s="42"/>
      <c r="AW248" s="42"/>
      <c r="AX248" s="42"/>
      <c r="AY248" s="42"/>
      <c r="AZ248" s="47"/>
      <c r="BA248" s="48"/>
    </row>
    <row r="249" spans="1:53" s="3" customFormat="1" ht="28.5" customHeight="1">
      <c r="A249" s="122"/>
      <c r="B249" s="136"/>
      <c r="C249" s="106"/>
      <c r="D249" s="162"/>
      <c r="E249" s="21" t="s">
        <v>70</v>
      </c>
      <c r="F249" s="22">
        <f t="shared" si="84"/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  <c r="M249" s="2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41"/>
      <c r="AS249" s="42"/>
      <c r="AT249" s="42"/>
      <c r="AU249" s="42"/>
      <c r="AV249" s="42"/>
      <c r="AW249" s="42"/>
      <c r="AX249" s="42"/>
      <c r="AY249" s="42"/>
      <c r="AZ249" s="47"/>
      <c r="BA249" s="48"/>
    </row>
    <row r="250" spans="1:53" s="3" customFormat="1" ht="21.75" customHeight="1">
      <c r="A250" s="122"/>
      <c r="B250" s="136"/>
      <c r="C250" s="106"/>
      <c r="D250" s="162"/>
      <c r="E250" s="55" t="s">
        <v>71</v>
      </c>
      <c r="F250" s="22">
        <f t="shared" si="84"/>
        <v>0</v>
      </c>
      <c r="G250" s="24">
        <v>0</v>
      </c>
      <c r="H250" s="24">
        <v>0</v>
      </c>
      <c r="I250" s="36">
        <v>0</v>
      </c>
      <c r="J250" s="24">
        <v>0</v>
      </c>
      <c r="K250" s="24">
        <v>0</v>
      </c>
      <c r="L250" s="24">
        <v>0</v>
      </c>
      <c r="M250" s="2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41"/>
      <c r="AS250" s="42"/>
      <c r="AT250" s="42"/>
      <c r="AU250" s="42"/>
      <c r="AV250" s="42"/>
      <c r="AW250" s="42"/>
      <c r="AX250" s="42"/>
      <c r="AY250" s="42"/>
      <c r="AZ250" s="47"/>
      <c r="BA250" s="48"/>
    </row>
    <row r="251" spans="1:53" s="3" customFormat="1" ht="21.75" customHeight="1">
      <c r="A251" s="122"/>
      <c r="B251" s="136"/>
      <c r="C251" s="106"/>
      <c r="D251" s="162"/>
      <c r="E251" s="55" t="s">
        <v>72</v>
      </c>
      <c r="F251" s="22">
        <f>G251+H251+I251+J251+K251+L251+M251</f>
        <v>1500</v>
      </c>
      <c r="G251" s="24">
        <v>0</v>
      </c>
      <c r="H251" s="36">
        <v>1500</v>
      </c>
      <c r="I251" s="36"/>
      <c r="J251" s="24">
        <v>0</v>
      </c>
      <c r="K251" s="24">
        <v>0</v>
      </c>
      <c r="L251" s="24">
        <v>0</v>
      </c>
      <c r="M251" s="2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41"/>
      <c r="AS251" s="42"/>
      <c r="AT251" s="42"/>
      <c r="AU251" s="42"/>
      <c r="AV251" s="42"/>
      <c r="AW251" s="42"/>
      <c r="AX251" s="42"/>
      <c r="AY251" s="42"/>
      <c r="AZ251" s="47"/>
      <c r="BA251" s="48"/>
    </row>
    <row r="252" spans="1:53" s="6" customFormat="1" ht="21.75" customHeight="1">
      <c r="A252" s="123"/>
      <c r="B252" s="137"/>
      <c r="C252" s="107"/>
      <c r="D252" s="163"/>
      <c r="E252" s="55" t="s">
        <v>73</v>
      </c>
      <c r="F252" s="22">
        <f>G252+H252+I252+J252+K252</f>
        <v>0</v>
      </c>
      <c r="G252" s="24">
        <v>0</v>
      </c>
      <c r="H252" s="24">
        <v>0</v>
      </c>
      <c r="I252" s="24">
        <v>0</v>
      </c>
      <c r="J252" s="24">
        <v>0</v>
      </c>
      <c r="K252" s="24">
        <v>0</v>
      </c>
      <c r="L252" s="24">
        <v>0</v>
      </c>
      <c r="M252" s="24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57"/>
      <c r="AS252" s="58"/>
      <c r="AT252" s="58"/>
      <c r="AU252" s="58"/>
      <c r="AV252" s="58"/>
      <c r="AW252" s="58"/>
      <c r="AX252" s="58"/>
      <c r="AY252" s="58"/>
      <c r="AZ252" s="59"/>
      <c r="BA252" s="60"/>
    </row>
    <row r="253" spans="1:53" s="3" customFormat="1" ht="21.75" customHeight="1">
      <c r="A253" s="121" t="s">
        <v>194</v>
      </c>
      <c r="B253" s="130" t="s">
        <v>195</v>
      </c>
      <c r="C253" s="105">
        <v>2024</v>
      </c>
      <c r="D253" s="121" t="s">
        <v>190</v>
      </c>
      <c r="E253" s="55" t="s">
        <v>68</v>
      </c>
      <c r="F253" s="22">
        <f>G253+H253+I253+J253+K253+L253+M253</f>
        <v>6963.5227999999997</v>
      </c>
      <c r="G253" s="23">
        <f>G254+G256+G257+G258</f>
        <v>0</v>
      </c>
      <c r="H253" s="23">
        <f>H254+H256+H257+H258</f>
        <v>0</v>
      </c>
      <c r="I253" s="23">
        <f>I254+I255+I256+I257</f>
        <v>6963.5227999999997</v>
      </c>
      <c r="J253" s="23">
        <f>J254+J255+J256+J257+J258</f>
        <v>0</v>
      </c>
      <c r="K253" s="23">
        <f>K254+K256+K257+K258</f>
        <v>0</v>
      </c>
      <c r="L253" s="23">
        <f>L254+L256+L257+L258</f>
        <v>0</v>
      </c>
      <c r="M253" s="23">
        <f>M254+M256+M257+M258</f>
        <v>0</v>
      </c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41"/>
      <c r="AS253" s="42"/>
      <c r="AT253" s="42"/>
      <c r="AU253" s="42"/>
      <c r="AV253" s="42"/>
      <c r="AW253" s="42"/>
      <c r="AX253" s="42"/>
      <c r="AY253" s="42"/>
      <c r="AZ253" s="47"/>
      <c r="BA253" s="48"/>
    </row>
    <row r="254" spans="1:53" s="3" customFormat="1" ht="21.75" customHeight="1">
      <c r="A254" s="122"/>
      <c r="B254" s="136"/>
      <c r="C254" s="106"/>
      <c r="D254" s="162"/>
      <c r="E254" s="55" t="s">
        <v>69</v>
      </c>
      <c r="F254" s="22">
        <f>G254+H254+I254+J254+K254+L254</f>
        <v>0</v>
      </c>
      <c r="G254" s="24">
        <v>0</v>
      </c>
      <c r="H254" s="24">
        <v>0</v>
      </c>
      <c r="I254" s="24">
        <v>0</v>
      </c>
      <c r="J254" s="24">
        <v>0</v>
      </c>
      <c r="K254" s="24">
        <v>0</v>
      </c>
      <c r="L254" s="24">
        <v>0</v>
      </c>
      <c r="M254" s="2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41"/>
      <c r="AS254" s="42"/>
      <c r="AT254" s="42"/>
      <c r="AU254" s="42"/>
      <c r="AV254" s="42"/>
      <c r="AW254" s="42"/>
      <c r="AX254" s="42"/>
      <c r="AY254" s="42"/>
      <c r="AZ254" s="47"/>
      <c r="BA254" s="48"/>
    </row>
    <row r="255" spans="1:53" s="3" customFormat="1" ht="30.75" customHeight="1">
      <c r="A255" s="122"/>
      <c r="B255" s="136"/>
      <c r="C255" s="106"/>
      <c r="D255" s="162"/>
      <c r="E255" s="21" t="s">
        <v>70</v>
      </c>
      <c r="F255" s="22">
        <f>G255+H255+I255+J255+K255+L255+M255</f>
        <v>6956.5592800000004</v>
      </c>
      <c r="G255" s="24">
        <v>0</v>
      </c>
      <c r="H255" s="24">
        <v>0</v>
      </c>
      <c r="I255" s="24">
        <v>6956.5592800000004</v>
      </c>
      <c r="J255" s="24"/>
      <c r="K255" s="24">
        <v>0</v>
      </c>
      <c r="L255" s="24">
        <v>0</v>
      </c>
      <c r="M255" s="2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41"/>
      <c r="AS255" s="42"/>
      <c r="AT255" s="42"/>
      <c r="AU255" s="42"/>
      <c r="AV255" s="42"/>
      <c r="AW255" s="42"/>
      <c r="AX255" s="42"/>
      <c r="AY255" s="42"/>
      <c r="AZ255" s="47"/>
      <c r="BA255" s="48"/>
    </row>
    <row r="256" spans="1:53" s="3" customFormat="1" ht="21.75" customHeight="1">
      <c r="A256" s="122"/>
      <c r="B256" s="136"/>
      <c r="C256" s="106"/>
      <c r="D256" s="162"/>
      <c r="E256" s="55" t="s">
        <v>71</v>
      </c>
      <c r="F256" s="22">
        <f>G256+H256+I256+J256+K256+L256</f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41"/>
      <c r="AS256" s="42"/>
      <c r="AT256" s="42"/>
      <c r="AU256" s="42"/>
      <c r="AV256" s="42"/>
      <c r="AW256" s="42"/>
      <c r="AX256" s="42"/>
      <c r="AY256" s="42"/>
      <c r="AZ256" s="47"/>
      <c r="BA256" s="48"/>
    </row>
    <row r="257" spans="1:53" s="3" customFormat="1" ht="21.75" customHeight="1">
      <c r="A257" s="122"/>
      <c r="B257" s="136"/>
      <c r="C257" s="106"/>
      <c r="D257" s="162"/>
      <c r="E257" s="55" t="s">
        <v>72</v>
      </c>
      <c r="F257" s="22">
        <f>G257+H257+I257+J257+K257+L257+M257</f>
        <v>6.9635199999999999</v>
      </c>
      <c r="G257" s="24">
        <v>0</v>
      </c>
      <c r="H257" s="24">
        <v>0</v>
      </c>
      <c r="I257" s="24">
        <v>6.9635199999999999</v>
      </c>
      <c r="J257" s="24"/>
      <c r="K257" s="24">
        <v>0</v>
      </c>
      <c r="L257" s="24">
        <v>0</v>
      </c>
      <c r="M257" s="2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41"/>
      <c r="AS257" s="42"/>
      <c r="AT257" s="42"/>
      <c r="AU257" s="42"/>
      <c r="AV257" s="42"/>
      <c r="AW257" s="42"/>
      <c r="AX257" s="42"/>
      <c r="AY257" s="42"/>
      <c r="AZ257" s="47"/>
      <c r="BA257" s="48"/>
    </row>
    <row r="258" spans="1:53" s="3" customFormat="1" ht="19.5" customHeight="1">
      <c r="A258" s="122"/>
      <c r="B258" s="136"/>
      <c r="C258" s="106"/>
      <c r="D258" s="162"/>
      <c r="E258" s="144" t="s">
        <v>73</v>
      </c>
      <c r="F258" s="169">
        <f>G258+H258+I258+J258+K258</f>
        <v>0</v>
      </c>
      <c r="G258" s="171">
        <v>0</v>
      </c>
      <c r="H258" s="171">
        <v>0</v>
      </c>
      <c r="I258" s="171">
        <v>0</v>
      </c>
      <c r="J258" s="171">
        <v>0</v>
      </c>
      <c r="K258" s="171">
        <v>0</v>
      </c>
      <c r="L258" s="171">
        <v>0</v>
      </c>
      <c r="M258" s="171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41"/>
      <c r="AS258" s="42"/>
      <c r="AT258" s="42"/>
      <c r="AU258" s="42"/>
      <c r="AV258" s="42"/>
      <c r="AW258" s="42"/>
      <c r="AX258" s="42"/>
      <c r="AY258" s="42"/>
      <c r="AZ258" s="47"/>
      <c r="BA258" s="48"/>
    </row>
    <row r="259" spans="1:53" s="6" customFormat="1" ht="12.75" customHeight="1">
      <c r="A259" s="123"/>
      <c r="B259" s="137"/>
      <c r="C259" s="107"/>
      <c r="D259" s="163"/>
      <c r="E259" s="146"/>
      <c r="F259" s="170"/>
      <c r="G259" s="172"/>
      <c r="H259" s="172"/>
      <c r="I259" s="172"/>
      <c r="J259" s="172"/>
      <c r="K259" s="172"/>
      <c r="L259" s="172"/>
      <c r="M259" s="172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57"/>
      <c r="AS259" s="58"/>
      <c r="AT259" s="58"/>
      <c r="AU259" s="58"/>
      <c r="AV259" s="58"/>
      <c r="AW259" s="58"/>
      <c r="AX259" s="58"/>
      <c r="AY259" s="58"/>
      <c r="AZ259" s="59"/>
      <c r="BA259" s="60"/>
    </row>
    <row r="260" spans="1:53" s="6" customFormat="1" ht="21.75" customHeight="1">
      <c r="A260" s="121" t="s">
        <v>196</v>
      </c>
      <c r="B260" s="130" t="s">
        <v>197</v>
      </c>
      <c r="C260" s="105">
        <v>2025</v>
      </c>
      <c r="D260" s="121" t="s">
        <v>190</v>
      </c>
      <c r="E260" s="55" t="s">
        <v>68</v>
      </c>
      <c r="F260" s="22">
        <f>G260+H260+I260+J260+K260+L260+M260</f>
        <v>550</v>
      </c>
      <c r="G260" s="23">
        <f>G261+G263+G264+G265</f>
        <v>0</v>
      </c>
      <c r="H260" s="23">
        <f>H261+H263+H264+H265</f>
        <v>0</v>
      </c>
      <c r="I260" s="23">
        <f>I261+I263+I264+I265</f>
        <v>0</v>
      </c>
      <c r="J260" s="23">
        <f>J261+J262+J263+J264+J265</f>
        <v>550</v>
      </c>
      <c r="K260" s="23">
        <f>K261+K263+K264+K265</f>
        <v>0</v>
      </c>
      <c r="L260" s="23">
        <f>L261+L263+L264+L265</f>
        <v>0</v>
      </c>
      <c r="M260" s="23">
        <f>M261+M263+M264+M265</f>
        <v>0</v>
      </c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57"/>
      <c r="AS260" s="58"/>
      <c r="AT260" s="58"/>
      <c r="AU260" s="58"/>
      <c r="AV260" s="58"/>
      <c r="AW260" s="58"/>
      <c r="AX260" s="58"/>
      <c r="AY260" s="58"/>
      <c r="AZ260" s="59"/>
      <c r="BA260" s="60"/>
    </row>
    <row r="261" spans="1:53" s="6" customFormat="1" ht="21.75" customHeight="1">
      <c r="A261" s="122"/>
      <c r="B261" s="136"/>
      <c r="C261" s="106"/>
      <c r="D261" s="162"/>
      <c r="E261" s="55" t="s">
        <v>69</v>
      </c>
      <c r="F261" s="22">
        <f>G261+H261+I261+J261+K261+L261</f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57"/>
      <c r="AS261" s="58"/>
      <c r="AT261" s="58"/>
      <c r="AU261" s="58"/>
      <c r="AV261" s="58"/>
      <c r="AW261" s="58"/>
      <c r="AX261" s="58"/>
      <c r="AY261" s="58"/>
      <c r="AZ261" s="59"/>
      <c r="BA261" s="60"/>
    </row>
    <row r="262" spans="1:53" s="6" customFormat="1" ht="30.75" customHeight="1">
      <c r="A262" s="122"/>
      <c r="B262" s="136"/>
      <c r="C262" s="106"/>
      <c r="D262" s="162"/>
      <c r="E262" s="21" t="s">
        <v>70</v>
      </c>
      <c r="F262" s="22">
        <f>G262+H262+I262+J262+K262+L262</f>
        <v>0</v>
      </c>
      <c r="G262" s="24">
        <v>0</v>
      </c>
      <c r="H262" s="24">
        <v>0</v>
      </c>
      <c r="I262" s="24">
        <v>0</v>
      </c>
      <c r="J262" s="24"/>
      <c r="K262" s="24">
        <v>0</v>
      </c>
      <c r="L262" s="24">
        <v>0</v>
      </c>
      <c r="M262" s="24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57"/>
      <c r="AS262" s="58"/>
      <c r="AT262" s="58"/>
      <c r="AU262" s="58"/>
      <c r="AV262" s="58"/>
      <c r="AW262" s="58"/>
      <c r="AX262" s="58"/>
      <c r="AY262" s="58"/>
      <c r="AZ262" s="59"/>
      <c r="BA262" s="60"/>
    </row>
    <row r="263" spans="1:53" s="6" customFormat="1" ht="21.75" customHeight="1">
      <c r="A263" s="122"/>
      <c r="B263" s="136"/>
      <c r="C263" s="106"/>
      <c r="D263" s="162"/>
      <c r="E263" s="55" t="s">
        <v>71</v>
      </c>
      <c r="F263" s="22">
        <f>G263+H263+I263+J263+K263+L263</f>
        <v>0</v>
      </c>
      <c r="G263" s="24">
        <v>0</v>
      </c>
      <c r="H263" s="24">
        <v>0</v>
      </c>
      <c r="I263" s="36">
        <v>0</v>
      </c>
      <c r="J263" s="24">
        <v>0</v>
      </c>
      <c r="K263" s="24">
        <v>0</v>
      </c>
      <c r="L263" s="24">
        <v>0</v>
      </c>
      <c r="M263" s="24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57"/>
      <c r="AS263" s="58"/>
      <c r="AT263" s="58"/>
      <c r="AU263" s="58"/>
      <c r="AV263" s="58"/>
      <c r="AW263" s="58"/>
      <c r="AX263" s="58"/>
      <c r="AY263" s="58"/>
      <c r="AZ263" s="59"/>
      <c r="BA263" s="60"/>
    </row>
    <row r="264" spans="1:53" s="6" customFormat="1" ht="21.75" customHeight="1">
      <c r="A264" s="122"/>
      <c r="B264" s="136"/>
      <c r="C264" s="106"/>
      <c r="D264" s="162"/>
      <c r="E264" s="55" t="s">
        <v>72</v>
      </c>
      <c r="F264" s="22">
        <f>G264+H264+I264+J264+K264+L264+M264</f>
        <v>550</v>
      </c>
      <c r="G264" s="24">
        <v>0</v>
      </c>
      <c r="H264" s="24">
        <v>0</v>
      </c>
      <c r="I264" s="39"/>
      <c r="J264" s="26">
        <f>250+300</f>
        <v>550</v>
      </c>
      <c r="K264" s="24">
        <v>0</v>
      </c>
      <c r="L264" s="24">
        <v>0</v>
      </c>
      <c r="M264" s="24"/>
      <c r="N264" s="9" t="s">
        <v>198</v>
      </c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57"/>
      <c r="AS264" s="58"/>
      <c r="AT264" s="58"/>
      <c r="AU264" s="58"/>
      <c r="AV264" s="58"/>
      <c r="AW264" s="58"/>
      <c r="AX264" s="58"/>
      <c r="AY264" s="58"/>
      <c r="AZ264" s="59"/>
      <c r="BA264" s="60"/>
    </row>
    <row r="265" spans="1:53" s="6" customFormat="1" ht="21" customHeight="1">
      <c r="A265" s="122"/>
      <c r="B265" s="136"/>
      <c r="C265" s="106"/>
      <c r="D265" s="162"/>
      <c r="E265" s="144" t="s">
        <v>73</v>
      </c>
      <c r="F265" s="169">
        <f>G265+H265+I265+J265+K265</f>
        <v>0</v>
      </c>
      <c r="G265" s="171">
        <v>0</v>
      </c>
      <c r="H265" s="171">
        <v>0</v>
      </c>
      <c r="I265" s="171">
        <v>0</v>
      </c>
      <c r="J265" s="171">
        <v>0</v>
      </c>
      <c r="K265" s="171">
        <v>0</v>
      </c>
      <c r="L265" s="171">
        <v>0</v>
      </c>
      <c r="M265" s="24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57"/>
      <c r="AS265" s="58"/>
      <c r="AT265" s="58"/>
      <c r="AU265" s="58"/>
      <c r="AV265" s="58"/>
      <c r="AW265" s="58"/>
      <c r="AX265" s="58"/>
      <c r="AY265" s="58"/>
      <c r="AZ265" s="59"/>
      <c r="BA265" s="60"/>
    </row>
    <row r="266" spans="1:53" s="6" customFormat="1" ht="21.75" hidden="1" customHeight="1">
      <c r="A266" s="123"/>
      <c r="B266" s="137"/>
      <c r="C266" s="107"/>
      <c r="D266" s="163"/>
      <c r="E266" s="146"/>
      <c r="F266" s="170"/>
      <c r="G266" s="172"/>
      <c r="H266" s="172"/>
      <c r="I266" s="172"/>
      <c r="J266" s="172"/>
      <c r="K266" s="172"/>
      <c r="L266" s="172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57"/>
      <c r="AS266" s="58"/>
      <c r="AT266" s="58"/>
      <c r="AU266" s="58"/>
      <c r="AV266" s="58"/>
      <c r="AW266" s="58"/>
      <c r="AX266" s="58"/>
      <c r="AY266" s="58"/>
      <c r="AZ266" s="59"/>
      <c r="BA266" s="60"/>
    </row>
    <row r="267" spans="1:53" s="6" customFormat="1" ht="21.75" customHeight="1">
      <c r="A267" s="121" t="s">
        <v>199</v>
      </c>
      <c r="B267" s="130" t="s">
        <v>200</v>
      </c>
      <c r="C267" s="105">
        <v>2024</v>
      </c>
      <c r="D267" s="121" t="s">
        <v>107</v>
      </c>
      <c r="E267" s="55" t="s">
        <v>68</v>
      </c>
      <c r="F267" s="22">
        <f>G267+H267+I267+J267+K267+L267+M267</f>
        <v>14565.164000000001</v>
      </c>
      <c r="G267" s="23">
        <f>G268+G270+G271+G272</f>
        <v>0</v>
      </c>
      <c r="H267" s="23">
        <f>H268+H270+H271+H272</f>
        <v>0</v>
      </c>
      <c r="I267" s="23">
        <f>I268+I270+I271+I272</f>
        <v>14565.164000000001</v>
      </c>
      <c r="J267" s="23">
        <f>J268+J269+J270+J271+J272</f>
        <v>0</v>
      </c>
      <c r="K267" s="23">
        <f>K268+K270+K271+K272</f>
        <v>0</v>
      </c>
      <c r="L267" s="23">
        <f>L268+L270+L271+L272</f>
        <v>0</v>
      </c>
      <c r="M267" s="23">
        <f>M268+M270+M271+M272</f>
        <v>0</v>
      </c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57"/>
      <c r="AS267" s="58"/>
      <c r="AT267" s="58"/>
      <c r="AU267" s="58"/>
      <c r="AV267" s="58"/>
      <c r="AW267" s="58"/>
      <c r="AX267" s="58"/>
      <c r="AY267" s="58"/>
      <c r="AZ267" s="59"/>
      <c r="BA267" s="60"/>
    </row>
    <row r="268" spans="1:53" s="6" customFormat="1" ht="21.75" customHeight="1">
      <c r="A268" s="122"/>
      <c r="B268" s="136"/>
      <c r="C268" s="106"/>
      <c r="D268" s="162"/>
      <c r="E268" s="55" t="s">
        <v>69</v>
      </c>
      <c r="F268" s="22">
        <f>G268+H268+I268+J268+K268+L268</f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57"/>
      <c r="AS268" s="58"/>
      <c r="AT268" s="58"/>
      <c r="AU268" s="58"/>
      <c r="AV268" s="58"/>
      <c r="AW268" s="58"/>
      <c r="AX268" s="58"/>
      <c r="AY268" s="58"/>
      <c r="AZ268" s="59"/>
      <c r="BA268" s="60"/>
    </row>
    <row r="269" spans="1:53" s="6" customFormat="1" ht="28.5" customHeight="1">
      <c r="A269" s="122"/>
      <c r="B269" s="136"/>
      <c r="C269" s="106"/>
      <c r="D269" s="162"/>
      <c r="E269" s="21" t="s">
        <v>70</v>
      </c>
      <c r="F269" s="22">
        <f>G269+H269+I269+J269+K269+L269</f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57"/>
      <c r="AS269" s="58"/>
      <c r="AT269" s="58"/>
      <c r="AU269" s="58"/>
      <c r="AV269" s="58"/>
      <c r="AW269" s="58"/>
      <c r="AX269" s="58"/>
      <c r="AY269" s="58"/>
      <c r="AZ269" s="59"/>
      <c r="BA269" s="60"/>
    </row>
    <row r="270" spans="1:53" s="6" customFormat="1" ht="21.75" customHeight="1">
      <c r="A270" s="122"/>
      <c r="B270" s="136"/>
      <c r="C270" s="106"/>
      <c r="D270" s="162"/>
      <c r="E270" s="55" t="s">
        <v>71</v>
      </c>
      <c r="F270" s="22">
        <f>G270+H270+I270+J270+K270+L270+M270</f>
        <v>13836.9058</v>
      </c>
      <c r="G270" s="24">
        <v>0</v>
      </c>
      <c r="H270" s="24">
        <v>0</v>
      </c>
      <c r="I270" s="24">
        <v>13836.9058</v>
      </c>
      <c r="J270" s="24"/>
      <c r="K270" s="24">
        <v>0</v>
      </c>
      <c r="L270" s="24">
        <v>0</v>
      </c>
      <c r="M270" s="24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57"/>
      <c r="AS270" s="58"/>
      <c r="AT270" s="58"/>
      <c r="AU270" s="58"/>
      <c r="AV270" s="58"/>
      <c r="AW270" s="58"/>
      <c r="AX270" s="58"/>
      <c r="AY270" s="58"/>
      <c r="AZ270" s="59"/>
      <c r="BA270" s="60"/>
    </row>
    <row r="271" spans="1:53" s="6" customFormat="1" ht="21.75" customHeight="1">
      <c r="A271" s="122"/>
      <c r="B271" s="136"/>
      <c r="C271" s="106"/>
      <c r="D271" s="162"/>
      <c r="E271" s="55" t="s">
        <v>72</v>
      </c>
      <c r="F271" s="22">
        <f>G271+H271+I271+J271+K271+L271+M271</f>
        <v>728.25819999999999</v>
      </c>
      <c r="G271" s="24">
        <v>0</v>
      </c>
      <c r="H271" s="24">
        <v>0</v>
      </c>
      <c r="I271" s="24">
        <v>728.25819999999999</v>
      </c>
      <c r="J271" s="24"/>
      <c r="K271" s="24">
        <v>0</v>
      </c>
      <c r="L271" s="24">
        <v>0</v>
      </c>
      <c r="M271" s="24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57"/>
      <c r="AS271" s="58"/>
      <c r="AT271" s="58"/>
      <c r="AU271" s="58"/>
      <c r="AV271" s="58"/>
      <c r="AW271" s="58"/>
      <c r="AX271" s="58"/>
      <c r="AY271" s="58"/>
      <c r="AZ271" s="59"/>
      <c r="BA271" s="60"/>
    </row>
    <row r="272" spans="1:53" s="6" customFormat="1" ht="21.75" customHeight="1">
      <c r="A272" s="122"/>
      <c r="B272" s="136"/>
      <c r="C272" s="106"/>
      <c r="D272" s="162"/>
      <c r="E272" s="144" t="s">
        <v>73</v>
      </c>
      <c r="F272" s="169">
        <f>G272+H272+I272+J272+K272</f>
        <v>0</v>
      </c>
      <c r="G272" s="171">
        <v>0</v>
      </c>
      <c r="H272" s="171">
        <v>0</v>
      </c>
      <c r="I272" s="171">
        <v>0</v>
      </c>
      <c r="J272" s="171">
        <v>0</v>
      </c>
      <c r="K272" s="171">
        <v>0</v>
      </c>
      <c r="L272" s="171">
        <v>0</v>
      </c>
      <c r="M272" s="171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57"/>
      <c r="AS272" s="58"/>
      <c r="AT272" s="58"/>
      <c r="AU272" s="58"/>
      <c r="AV272" s="58"/>
      <c r="AW272" s="58"/>
      <c r="AX272" s="58"/>
      <c r="AY272" s="58"/>
      <c r="AZ272" s="59"/>
      <c r="BA272" s="60"/>
    </row>
    <row r="273" spans="1:53" s="6" customFormat="1" ht="21.75" customHeight="1">
      <c r="A273" s="123"/>
      <c r="B273" s="137"/>
      <c r="C273" s="107"/>
      <c r="D273" s="163"/>
      <c r="E273" s="146"/>
      <c r="F273" s="170"/>
      <c r="G273" s="172"/>
      <c r="H273" s="172"/>
      <c r="I273" s="172"/>
      <c r="J273" s="172"/>
      <c r="K273" s="172"/>
      <c r="L273" s="172"/>
      <c r="M273" s="172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57"/>
      <c r="AS273" s="58"/>
      <c r="AT273" s="58"/>
      <c r="AU273" s="58"/>
      <c r="AV273" s="58"/>
      <c r="AW273" s="58"/>
      <c r="AX273" s="58"/>
      <c r="AY273" s="58"/>
      <c r="AZ273" s="59"/>
      <c r="BA273" s="60"/>
    </row>
    <row r="274" spans="1:53" s="6" customFormat="1" ht="21.75" customHeight="1">
      <c r="A274" s="121" t="s">
        <v>201</v>
      </c>
      <c r="B274" s="130" t="s">
        <v>202</v>
      </c>
      <c r="C274" s="150" t="s">
        <v>203</v>
      </c>
      <c r="D274" s="166" t="s">
        <v>204</v>
      </c>
      <c r="E274" s="55" t="s">
        <v>68</v>
      </c>
      <c r="F274" s="22">
        <f>G274+H274+I274+J274+K274+L274+M274</f>
        <v>21514.534200000002</v>
      </c>
      <c r="G274" s="23">
        <f>G275+G277+G278+G279</f>
        <v>0</v>
      </c>
      <c r="H274" s="23">
        <f>H275+H277+H278+H279</f>
        <v>0</v>
      </c>
      <c r="I274" s="23">
        <f>I275+I277+I278+I279</f>
        <v>0</v>
      </c>
      <c r="J274" s="23">
        <f>J275+J276+J277+J278+J279</f>
        <v>10865.602440000001</v>
      </c>
      <c r="K274" s="23">
        <f>K275+K277+K278+K279</f>
        <v>10648.931759999999</v>
      </c>
      <c r="L274" s="23">
        <f>L275+L277+L278+L279</f>
        <v>0</v>
      </c>
      <c r="M274" s="23">
        <f>M275+M277+M278+M279</f>
        <v>0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57"/>
      <c r="AS274" s="58"/>
      <c r="AT274" s="58"/>
      <c r="AU274" s="58"/>
      <c r="AV274" s="58"/>
      <c r="AW274" s="58"/>
      <c r="AX274" s="58"/>
      <c r="AY274" s="58"/>
      <c r="AZ274" s="59"/>
      <c r="BA274" s="60"/>
    </row>
    <row r="275" spans="1:53" s="6" customFormat="1" ht="21.75" customHeight="1">
      <c r="A275" s="122"/>
      <c r="B275" s="136"/>
      <c r="C275" s="151"/>
      <c r="D275" s="167"/>
      <c r="E275" s="55" t="s">
        <v>69</v>
      </c>
      <c r="F275" s="22">
        <f>G275+H275+I275+J275+K275+L275+M275</f>
        <v>20843.900000000001</v>
      </c>
      <c r="G275" s="24">
        <v>0</v>
      </c>
      <c r="H275" s="24">
        <v>0</v>
      </c>
      <c r="I275" s="24"/>
      <c r="J275" s="24">
        <v>10312</v>
      </c>
      <c r="K275" s="24">
        <v>10531.9</v>
      </c>
      <c r="L275" s="24">
        <v>0</v>
      </c>
      <c r="M275" s="24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57"/>
      <c r="AS275" s="58"/>
      <c r="AT275" s="58"/>
      <c r="AU275" s="58"/>
      <c r="AV275" s="58"/>
      <c r="AW275" s="58"/>
      <c r="AX275" s="58"/>
      <c r="AY275" s="58"/>
      <c r="AZ275" s="59"/>
      <c r="BA275" s="60"/>
    </row>
    <row r="276" spans="1:53" s="6" customFormat="1" ht="21.75" customHeight="1">
      <c r="A276" s="122"/>
      <c r="B276" s="136"/>
      <c r="C276" s="151"/>
      <c r="D276" s="167"/>
      <c r="E276" s="21" t="s">
        <v>70</v>
      </c>
      <c r="F276" s="22">
        <f>G276+H276+I276+J276+K276+L276</f>
        <v>0</v>
      </c>
      <c r="G276" s="24">
        <v>0</v>
      </c>
      <c r="H276" s="24">
        <v>0</v>
      </c>
      <c r="I276" s="24"/>
      <c r="J276" s="24">
        <v>0</v>
      </c>
      <c r="K276" s="24">
        <v>0</v>
      </c>
      <c r="L276" s="24">
        <v>0</v>
      </c>
      <c r="M276" s="24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57"/>
      <c r="AS276" s="58"/>
      <c r="AT276" s="58"/>
      <c r="AU276" s="58"/>
      <c r="AV276" s="58"/>
      <c r="AW276" s="58"/>
      <c r="AX276" s="58"/>
      <c r="AY276" s="58"/>
      <c r="AZ276" s="59"/>
      <c r="BA276" s="60"/>
    </row>
    <row r="277" spans="1:53" s="6" customFormat="1" ht="21.75" customHeight="1">
      <c r="A277" s="122"/>
      <c r="B277" s="136"/>
      <c r="C277" s="151"/>
      <c r="D277" s="167"/>
      <c r="E277" s="55" t="s">
        <v>71</v>
      </c>
      <c r="F277" s="22">
        <f>G277+H277+I277+J277+K277+L277+M277</f>
        <v>649.11967000000004</v>
      </c>
      <c r="G277" s="24">
        <v>0</v>
      </c>
      <c r="H277" s="24">
        <v>0</v>
      </c>
      <c r="I277" s="24"/>
      <c r="J277" s="24">
        <v>542.73684000000003</v>
      </c>
      <c r="K277" s="24">
        <v>106.38283</v>
      </c>
      <c r="L277" s="24">
        <v>0</v>
      </c>
      <c r="M277" s="24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57"/>
      <c r="AS277" s="58"/>
      <c r="AT277" s="58"/>
      <c r="AU277" s="58"/>
      <c r="AV277" s="58"/>
      <c r="AW277" s="58"/>
      <c r="AX277" s="58"/>
      <c r="AY277" s="58"/>
      <c r="AZ277" s="59"/>
      <c r="BA277" s="60"/>
    </row>
    <row r="278" spans="1:53" s="6" customFormat="1" ht="21.75" customHeight="1">
      <c r="A278" s="122"/>
      <c r="B278" s="136"/>
      <c r="C278" s="151"/>
      <c r="D278" s="167"/>
      <c r="E278" s="55" t="s">
        <v>72</v>
      </c>
      <c r="F278" s="22">
        <f>G278+H278+I278+J278+K278+L278+M278</f>
        <v>21.514530000000001</v>
      </c>
      <c r="G278" s="24">
        <v>0</v>
      </c>
      <c r="H278" s="24">
        <v>0</v>
      </c>
      <c r="I278" s="24"/>
      <c r="J278" s="24">
        <v>10.865600000000001</v>
      </c>
      <c r="K278" s="24">
        <v>10.64893</v>
      </c>
      <c r="L278" s="24"/>
      <c r="M278" s="24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57"/>
      <c r="AS278" s="58"/>
      <c r="AT278" s="58"/>
      <c r="AU278" s="58"/>
      <c r="AV278" s="58"/>
      <c r="AW278" s="58"/>
      <c r="AX278" s="58"/>
      <c r="AY278" s="58"/>
      <c r="AZ278" s="59"/>
      <c r="BA278" s="60"/>
    </row>
    <row r="279" spans="1:53" s="6" customFormat="1" ht="21.75" customHeight="1">
      <c r="A279" s="122"/>
      <c r="B279" s="136"/>
      <c r="C279" s="151"/>
      <c r="D279" s="167"/>
      <c r="E279" s="144" t="s">
        <v>73</v>
      </c>
      <c r="F279" s="169">
        <f>G279+H279+I279+J279+K279</f>
        <v>0</v>
      </c>
      <c r="G279" s="171">
        <v>0</v>
      </c>
      <c r="H279" s="171">
        <v>0</v>
      </c>
      <c r="I279" s="171">
        <v>0</v>
      </c>
      <c r="J279" s="171">
        <v>0</v>
      </c>
      <c r="K279" s="171">
        <v>0</v>
      </c>
      <c r="L279" s="171">
        <v>0</v>
      </c>
      <c r="M279" s="171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57"/>
      <c r="AS279" s="58"/>
      <c r="AT279" s="58"/>
      <c r="AU279" s="58"/>
      <c r="AV279" s="58"/>
      <c r="AW279" s="58"/>
      <c r="AX279" s="58"/>
      <c r="AY279" s="58"/>
      <c r="AZ279" s="59"/>
      <c r="BA279" s="60"/>
    </row>
    <row r="280" spans="1:53" s="6" customFormat="1" ht="8.25" customHeight="1">
      <c r="A280" s="123"/>
      <c r="B280" s="137"/>
      <c r="C280" s="152"/>
      <c r="D280" s="168"/>
      <c r="E280" s="146"/>
      <c r="F280" s="170"/>
      <c r="G280" s="172"/>
      <c r="H280" s="172"/>
      <c r="I280" s="172"/>
      <c r="J280" s="172"/>
      <c r="K280" s="172"/>
      <c r="L280" s="172"/>
      <c r="M280" s="172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57"/>
      <c r="AS280" s="58"/>
      <c r="AT280" s="58"/>
      <c r="AU280" s="58"/>
      <c r="AV280" s="58"/>
      <c r="AW280" s="58"/>
      <c r="AX280" s="58"/>
      <c r="AY280" s="58"/>
      <c r="AZ280" s="59"/>
      <c r="BA280" s="60"/>
    </row>
    <row r="281" spans="1:53" s="6" customFormat="1" ht="21.75" customHeight="1">
      <c r="A281" s="121" t="s">
        <v>205</v>
      </c>
      <c r="B281" s="130" t="s">
        <v>206</v>
      </c>
      <c r="C281" s="150">
        <v>2025</v>
      </c>
      <c r="D281" s="166" t="s">
        <v>204</v>
      </c>
      <c r="E281" s="55" t="s">
        <v>68</v>
      </c>
      <c r="F281" s="22">
        <f>G281+H281+I281+J281+K281+L281+M281</f>
        <v>13107.950059999999</v>
      </c>
      <c r="G281" s="23">
        <f>G282+G284+G285+G286</f>
        <v>0</v>
      </c>
      <c r="H281" s="23">
        <f>H282+H284+H285+H286</f>
        <v>0</v>
      </c>
      <c r="I281" s="23">
        <f>I282+I284+I285+I286</f>
        <v>0</v>
      </c>
      <c r="J281" s="23">
        <f>J282+J283+J284+J285+J286</f>
        <v>13107.950059999999</v>
      </c>
      <c r="K281" s="23">
        <f>K282+K284+K285+K286</f>
        <v>0</v>
      </c>
      <c r="L281" s="23">
        <f>L282+L284+L285+L286</f>
        <v>0</v>
      </c>
      <c r="M281" s="23">
        <f>M282+M284+M285+M286</f>
        <v>0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57"/>
      <c r="AS281" s="58"/>
      <c r="AT281" s="58"/>
      <c r="AU281" s="58"/>
      <c r="AV281" s="58"/>
      <c r="AW281" s="58"/>
      <c r="AX281" s="58"/>
      <c r="AY281" s="58"/>
      <c r="AZ281" s="59"/>
      <c r="BA281" s="60"/>
    </row>
    <row r="282" spans="1:53" s="6" customFormat="1" ht="21.75" customHeight="1">
      <c r="A282" s="122"/>
      <c r="B282" s="136"/>
      <c r="C282" s="151"/>
      <c r="D282" s="167"/>
      <c r="E282" s="55" t="s">
        <v>69</v>
      </c>
      <c r="F282" s="22">
        <f>G282+H282+I282+J282+K282+L282+M282</f>
        <v>12440.1</v>
      </c>
      <c r="G282" s="24">
        <v>0</v>
      </c>
      <c r="H282" s="24">
        <v>0</v>
      </c>
      <c r="I282" s="24">
        <v>0</v>
      </c>
      <c r="J282" s="24">
        <v>12440.1</v>
      </c>
      <c r="K282" s="24">
        <v>0</v>
      </c>
      <c r="L282" s="24">
        <v>0</v>
      </c>
      <c r="M282" s="24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57"/>
      <c r="AS282" s="58"/>
      <c r="AT282" s="58"/>
      <c r="AU282" s="58"/>
      <c r="AV282" s="58"/>
      <c r="AW282" s="58"/>
      <c r="AX282" s="58"/>
      <c r="AY282" s="58"/>
      <c r="AZ282" s="59"/>
      <c r="BA282" s="60"/>
    </row>
    <row r="283" spans="1:53" s="6" customFormat="1" ht="21.75" customHeight="1">
      <c r="A283" s="122"/>
      <c r="B283" s="136"/>
      <c r="C283" s="151"/>
      <c r="D283" s="167"/>
      <c r="E283" s="21" t="s">
        <v>70</v>
      </c>
      <c r="F283" s="22">
        <f>G283+H283+I283+J283+K283+L283</f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57"/>
      <c r="AS283" s="58"/>
      <c r="AT283" s="58"/>
      <c r="AU283" s="58"/>
      <c r="AV283" s="58"/>
      <c r="AW283" s="58"/>
      <c r="AX283" s="58"/>
      <c r="AY283" s="58"/>
      <c r="AZ283" s="59"/>
      <c r="BA283" s="60"/>
    </row>
    <row r="284" spans="1:53" s="6" customFormat="1" ht="21.75" customHeight="1">
      <c r="A284" s="122"/>
      <c r="B284" s="136"/>
      <c r="C284" s="151"/>
      <c r="D284" s="167"/>
      <c r="E284" s="55" t="s">
        <v>71</v>
      </c>
      <c r="F284" s="22">
        <f>G284+H284+I284+J284+K284+L284+M284</f>
        <v>654.74211000000003</v>
      </c>
      <c r="G284" s="24">
        <v>0</v>
      </c>
      <c r="H284" s="24">
        <v>0</v>
      </c>
      <c r="I284" s="24"/>
      <c r="J284" s="24">
        <v>654.74211000000003</v>
      </c>
      <c r="K284" s="24">
        <v>0</v>
      </c>
      <c r="L284" s="24">
        <v>0</v>
      </c>
      <c r="M284" s="24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57"/>
      <c r="AS284" s="58"/>
      <c r="AT284" s="58"/>
      <c r="AU284" s="58"/>
      <c r="AV284" s="58"/>
      <c r="AW284" s="58"/>
      <c r="AX284" s="58"/>
      <c r="AY284" s="58"/>
      <c r="AZ284" s="59"/>
      <c r="BA284" s="60"/>
    </row>
    <row r="285" spans="1:53" s="6" customFormat="1" ht="21.75" customHeight="1">
      <c r="A285" s="122"/>
      <c r="B285" s="136"/>
      <c r="C285" s="151"/>
      <c r="D285" s="167"/>
      <c r="E285" s="55" t="s">
        <v>72</v>
      </c>
      <c r="F285" s="22">
        <f>G285+H285+I285+J285+K285+L285+M285</f>
        <v>13.107950000000001</v>
      </c>
      <c r="G285" s="24">
        <v>0</v>
      </c>
      <c r="H285" s="24">
        <v>0</v>
      </c>
      <c r="I285" s="24"/>
      <c r="J285" s="24">
        <v>13.107950000000001</v>
      </c>
      <c r="K285" s="24">
        <v>0</v>
      </c>
      <c r="L285" s="24">
        <v>0</v>
      </c>
      <c r="M285" s="24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57"/>
      <c r="AS285" s="58"/>
      <c r="AT285" s="58"/>
      <c r="AU285" s="58"/>
      <c r="AV285" s="58"/>
      <c r="AW285" s="58"/>
      <c r="AX285" s="58"/>
      <c r="AY285" s="58"/>
      <c r="AZ285" s="59"/>
      <c r="BA285" s="60"/>
    </row>
    <row r="286" spans="1:53" s="6" customFormat="1" ht="21.75" customHeight="1">
      <c r="A286" s="122"/>
      <c r="B286" s="136"/>
      <c r="C286" s="151"/>
      <c r="D286" s="167"/>
      <c r="E286" s="144" t="s">
        <v>73</v>
      </c>
      <c r="F286" s="169">
        <f>G286+H286+I286+J286+K286</f>
        <v>0</v>
      </c>
      <c r="G286" s="171">
        <v>0</v>
      </c>
      <c r="H286" s="171">
        <v>0</v>
      </c>
      <c r="I286" s="171">
        <v>0</v>
      </c>
      <c r="J286" s="171">
        <v>0</v>
      </c>
      <c r="K286" s="171">
        <v>0</v>
      </c>
      <c r="L286" s="171">
        <v>0</v>
      </c>
      <c r="M286" s="171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57"/>
      <c r="AS286" s="58"/>
      <c r="AT286" s="58"/>
      <c r="AU286" s="58"/>
      <c r="AV286" s="58"/>
      <c r="AW286" s="58"/>
      <c r="AX286" s="58"/>
      <c r="AY286" s="58"/>
      <c r="AZ286" s="59"/>
      <c r="BA286" s="60"/>
    </row>
    <row r="287" spans="1:53" s="6" customFormat="1" ht="21.75" customHeight="1">
      <c r="A287" s="123"/>
      <c r="B287" s="137"/>
      <c r="C287" s="152"/>
      <c r="D287" s="168"/>
      <c r="E287" s="146"/>
      <c r="F287" s="170"/>
      <c r="G287" s="172"/>
      <c r="H287" s="172"/>
      <c r="I287" s="172"/>
      <c r="J287" s="172"/>
      <c r="K287" s="172"/>
      <c r="L287" s="172"/>
      <c r="M287" s="172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57"/>
      <c r="AS287" s="58"/>
      <c r="AT287" s="58"/>
      <c r="AU287" s="58"/>
      <c r="AV287" s="58"/>
      <c r="AW287" s="58"/>
      <c r="AX287" s="58"/>
      <c r="AY287" s="58"/>
      <c r="AZ287" s="59"/>
      <c r="BA287" s="60"/>
    </row>
    <row r="288" spans="1:53" s="3" customFormat="1" ht="21.75" customHeight="1">
      <c r="A288" s="108"/>
      <c r="B288" s="141" t="s">
        <v>207</v>
      </c>
      <c r="C288" s="105" t="s">
        <v>66</v>
      </c>
      <c r="D288" s="160"/>
      <c r="E288" s="21" t="s">
        <v>68</v>
      </c>
      <c r="F288" s="61">
        <f t="shared" ref="F288:J289" si="87">F13+F73+F85+F127+F205</f>
        <v>1717733.3716699998</v>
      </c>
      <c r="G288" s="61">
        <f t="shared" si="87"/>
        <v>233788.01253000001</v>
      </c>
      <c r="H288" s="61">
        <f t="shared" si="87"/>
        <v>207030.61451000001</v>
      </c>
      <c r="I288" s="61">
        <f t="shared" si="87"/>
        <v>231140.07758000001</v>
      </c>
      <c r="J288" s="61">
        <f t="shared" si="87"/>
        <v>260309.68019000001</v>
      </c>
      <c r="K288" s="62">
        <f>K13+K73+K85+K127+K205+K115+K187</f>
        <v>270953.10155999998</v>
      </c>
      <c r="L288" s="62">
        <f t="shared" ref="L288:M291" si="88">L13+L73+L85+L127+L205</f>
        <v>248590.739</v>
      </c>
      <c r="M288" s="62">
        <f t="shared" si="88"/>
        <v>265921.14630000002</v>
      </c>
      <c r="N288" s="76"/>
      <c r="O288" s="76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87"/>
      <c r="AN288" s="87"/>
      <c r="AO288" s="87"/>
      <c r="AP288" s="87"/>
      <c r="AQ288" s="87"/>
      <c r="AR288" s="42"/>
      <c r="AS288" s="42"/>
      <c r="AT288" s="42"/>
      <c r="AU288" s="42"/>
      <c r="AV288" s="42"/>
      <c r="AW288" s="42"/>
      <c r="AX288" s="42"/>
      <c r="AY288" s="42"/>
      <c r="AZ288" s="42"/>
    </row>
    <row r="289" spans="1:52" s="3" customFormat="1" ht="21.75" customHeight="1">
      <c r="A289" s="109"/>
      <c r="B289" s="142"/>
      <c r="C289" s="106"/>
      <c r="D289" s="160"/>
      <c r="E289" s="21" t="s">
        <v>69</v>
      </c>
      <c r="F289" s="61">
        <f t="shared" si="87"/>
        <v>55931.351699999999</v>
      </c>
      <c r="G289" s="61">
        <f t="shared" si="87"/>
        <v>356.34931</v>
      </c>
      <c r="H289" s="61">
        <f t="shared" si="87"/>
        <v>6245.4033200000003</v>
      </c>
      <c r="I289" s="61">
        <f t="shared" si="87"/>
        <v>1150.05024</v>
      </c>
      <c r="J289" s="61">
        <f t="shared" si="87"/>
        <v>23058.172439999998</v>
      </c>
      <c r="K289" s="62">
        <f>K14+K74+K86+K128+K206</f>
        <v>20887.71039</v>
      </c>
      <c r="L289" s="62">
        <f t="shared" si="88"/>
        <v>0</v>
      </c>
      <c r="M289" s="62">
        <f t="shared" si="88"/>
        <v>4233.6660000000002</v>
      </c>
      <c r="N289" s="76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87"/>
      <c r="AN289" s="87"/>
      <c r="AO289" s="87"/>
      <c r="AP289" s="87"/>
      <c r="AQ289" s="87"/>
      <c r="AR289" s="42"/>
      <c r="AS289" s="42"/>
      <c r="AT289" s="42"/>
      <c r="AU289" s="42"/>
      <c r="AV289" s="42"/>
      <c r="AW289" s="42"/>
      <c r="AX289" s="42"/>
      <c r="AY289" s="42"/>
      <c r="AZ289" s="42"/>
    </row>
    <row r="290" spans="1:52" s="3" customFormat="1" ht="27" customHeight="1">
      <c r="A290" s="109"/>
      <c r="B290" s="142"/>
      <c r="C290" s="106"/>
      <c r="D290" s="160"/>
      <c r="E290" s="21" t="s">
        <v>70</v>
      </c>
      <c r="F290" s="61">
        <f t="shared" ref="F290:H293" si="89">F15+F75+F87+F129+F207</f>
        <v>6956.5592800000004</v>
      </c>
      <c r="G290" s="62">
        <f t="shared" si="89"/>
        <v>0</v>
      </c>
      <c r="H290" s="62">
        <f t="shared" si="89"/>
        <v>0</v>
      </c>
      <c r="I290" s="62">
        <f>I15+I81+I87+I129+I207</f>
        <v>6956.5592800000004</v>
      </c>
      <c r="J290" s="61">
        <f>J15+J75+J87+J129+J207</f>
        <v>0</v>
      </c>
      <c r="K290" s="62">
        <f>K15+K75+K87+K129+K207</f>
        <v>0</v>
      </c>
      <c r="L290" s="62">
        <f t="shared" si="88"/>
        <v>0</v>
      </c>
      <c r="M290" s="62">
        <f t="shared" si="88"/>
        <v>0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87"/>
      <c r="AN290" s="87"/>
      <c r="AO290" s="87"/>
      <c r="AP290" s="87"/>
      <c r="AQ290" s="87"/>
      <c r="AR290" s="42"/>
      <c r="AS290" s="42"/>
      <c r="AT290" s="42"/>
      <c r="AU290" s="42"/>
      <c r="AV290" s="42"/>
      <c r="AW290" s="42"/>
      <c r="AX290" s="42"/>
      <c r="AY290" s="42"/>
      <c r="AZ290" s="42"/>
    </row>
    <row r="291" spans="1:52" s="3" customFormat="1" ht="21.75" customHeight="1">
      <c r="A291" s="109"/>
      <c r="B291" s="142"/>
      <c r="C291" s="106"/>
      <c r="D291" s="160"/>
      <c r="E291" s="21" t="s">
        <v>71</v>
      </c>
      <c r="F291" s="61">
        <f t="shared" si="89"/>
        <v>30313.213370000001</v>
      </c>
      <c r="G291" s="61">
        <f t="shared" si="89"/>
        <v>13484.10122</v>
      </c>
      <c r="H291" s="61">
        <f t="shared" si="89"/>
        <v>856.86382000000003</v>
      </c>
      <c r="I291" s="61">
        <f>I16+I82+I88+I130+I208</f>
        <v>14003.83476</v>
      </c>
      <c r="J291" s="61">
        <f>J16+J76+J88+J130+J208</f>
        <v>1321.5880299999999</v>
      </c>
      <c r="K291" s="62">
        <f>K16+K76+K88+K130+K208</f>
        <v>388.06124</v>
      </c>
      <c r="L291" s="62">
        <f t="shared" si="88"/>
        <v>108</v>
      </c>
      <c r="M291" s="62">
        <f t="shared" si="88"/>
        <v>150.76429999999999</v>
      </c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87"/>
      <c r="AN291" s="87"/>
      <c r="AO291" s="87"/>
      <c r="AP291" s="87"/>
      <c r="AQ291" s="87"/>
      <c r="AR291" s="42"/>
      <c r="AS291" s="42"/>
      <c r="AT291" s="42"/>
      <c r="AU291" s="42"/>
      <c r="AV291" s="42"/>
      <c r="AW291" s="42"/>
      <c r="AX291" s="42"/>
      <c r="AY291" s="42"/>
      <c r="AZ291" s="42"/>
    </row>
    <row r="292" spans="1:52" s="3" customFormat="1" ht="21.75" customHeight="1">
      <c r="A292" s="109"/>
      <c r="B292" s="142"/>
      <c r="C292" s="106"/>
      <c r="D292" s="160"/>
      <c r="E292" s="21" t="s">
        <v>72</v>
      </c>
      <c r="F292" s="61">
        <f t="shared" si="89"/>
        <v>1624532.2473199998</v>
      </c>
      <c r="G292" s="61">
        <f t="shared" si="89"/>
        <v>219947.56200000001</v>
      </c>
      <c r="H292" s="61">
        <f t="shared" si="89"/>
        <v>199928.34737</v>
      </c>
      <c r="I292" s="61">
        <f>I17+I77+I89+I131+I209</f>
        <v>209029.63329999999</v>
      </c>
      <c r="J292" s="61">
        <f>J17+J77+J89+J131+J209</f>
        <v>235929.91972000003</v>
      </c>
      <c r="K292" s="62">
        <f>K17+K77+K89+K131+K209+K119+K191</f>
        <v>249677.32993000001</v>
      </c>
      <c r="L292" s="62">
        <f>L17+L77+L89+L131+L209+L119+L191</f>
        <v>248482.739</v>
      </c>
      <c r="M292" s="62">
        <f>M17+M77+M89+M131+M209+M119+M191</f>
        <v>261536.71599999999</v>
      </c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87"/>
      <c r="AN292" s="87"/>
      <c r="AO292" s="87"/>
      <c r="AP292" s="87"/>
      <c r="AQ292" s="87"/>
      <c r="AR292" s="42"/>
      <c r="AS292" s="42"/>
      <c r="AT292" s="42"/>
      <c r="AU292" s="42"/>
      <c r="AV292" s="42"/>
      <c r="AW292" s="42"/>
      <c r="AX292" s="42"/>
      <c r="AY292" s="42"/>
      <c r="AZ292" s="42"/>
    </row>
    <row r="293" spans="1:52" s="6" customFormat="1" ht="21.75" customHeight="1">
      <c r="A293" s="110"/>
      <c r="B293" s="143"/>
      <c r="C293" s="107"/>
      <c r="D293" s="161"/>
      <c r="E293" s="21" t="s">
        <v>73</v>
      </c>
      <c r="F293" s="22">
        <f t="shared" si="89"/>
        <v>0</v>
      </c>
      <c r="G293" s="61">
        <f t="shared" si="89"/>
        <v>0</v>
      </c>
      <c r="H293" s="61">
        <f t="shared" si="89"/>
        <v>0</v>
      </c>
      <c r="I293" s="61">
        <f>I18+I78+I90+I132+I210</f>
        <v>0</v>
      </c>
      <c r="J293" s="61">
        <f>J18+J78+J90+J132+J210</f>
        <v>0</v>
      </c>
      <c r="K293" s="62">
        <f>K18+K78+K90+K132+K210</f>
        <v>0</v>
      </c>
      <c r="L293" s="62">
        <f>L18+L78+L90+L132+L210</f>
        <v>0</v>
      </c>
      <c r="M293" s="62">
        <f>M18+M78+M90+M132+M210</f>
        <v>0</v>
      </c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88"/>
      <c r="AN293" s="88"/>
      <c r="AO293" s="88"/>
      <c r="AP293" s="88"/>
      <c r="AQ293" s="88"/>
      <c r="AR293" s="58"/>
      <c r="AS293" s="58"/>
      <c r="AT293" s="58"/>
      <c r="AU293" s="58"/>
      <c r="AV293" s="58"/>
      <c r="AW293" s="58"/>
      <c r="AX293" s="58"/>
      <c r="AY293" s="58"/>
      <c r="AZ293" s="58"/>
    </row>
    <row r="294" spans="1:52" s="1" customFormat="1" ht="31.5" customHeight="1">
      <c r="A294" s="63"/>
      <c r="B294" s="64"/>
      <c r="C294" s="65"/>
      <c r="D294" s="66"/>
      <c r="E294" s="65"/>
      <c r="F294" s="64"/>
      <c r="G294" s="64"/>
      <c r="H294" s="64"/>
      <c r="I294" s="64"/>
      <c r="J294" s="64"/>
      <c r="K294" s="77"/>
      <c r="L294" s="64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</row>
    <row r="295" spans="1:52" s="7" customFormat="1" ht="12" customHeight="1">
      <c r="B295" s="67" t="s">
        <v>208</v>
      </c>
      <c r="C295" s="68"/>
      <c r="D295" s="69"/>
      <c r="E295" s="69"/>
      <c r="F295" s="69"/>
      <c r="G295" s="69"/>
      <c r="H295" s="69"/>
      <c r="I295" s="78"/>
      <c r="J295" s="79"/>
      <c r="K295" s="79"/>
      <c r="L295" s="80"/>
      <c r="M295" s="81"/>
      <c r="N295" s="81"/>
      <c r="O295" s="81"/>
      <c r="P295" s="81"/>
      <c r="Q295" s="81"/>
      <c r="R295" s="81"/>
    </row>
    <row r="296" spans="1:52" s="7" customFormat="1" ht="14.25" customHeight="1">
      <c r="B296" s="70"/>
      <c r="C296" s="70"/>
      <c r="D296" s="71"/>
      <c r="E296" s="71"/>
      <c r="F296" s="71"/>
      <c r="G296" s="71"/>
      <c r="H296" s="71"/>
      <c r="J296" s="82" t="s">
        <v>209</v>
      </c>
      <c r="K296" s="7">
        <v>2026</v>
      </c>
      <c r="L296" s="80" t="s">
        <v>210</v>
      </c>
      <c r="M296" s="81"/>
      <c r="N296" s="81"/>
      <c r="O296" s="81"/>
      <c r="P296" s="81"/>
      <c r="Q296" s="81"/>
      <c r="R296" s="81"/>
    </row>
    <row r="297" spans="1:52" s="8" customFormat="1" ht="15.75">
      <c r="B297" s="72"/>
      <c r="C297" s="72"/>
      <c r="D297" s="72"/>
      <c r="E297" s="72"/>
      <c r="F297" s="72"/>
      <c r="G297" s="72"/>
      <c r="H297" s="72"/>
      <c r="J297" s="83"/>
      <c r="K297" s="81">
        <v>2027</v>
      </c>
      <c r="L297" s="80" t="s">
        <v>211</v>
      </c>
      <c r="M297" s="84"/>
      <c r="N297" s="84"/>
      <c r="O297" s="84"/>
      <c r="P297" s="84"/>
      <c r="Q297" s="84"/>
      <c r="R297" s="84"/>
    </row>
    <row r="298" spans="1:52" s="8" customFormat="1" ht="15.75">
      <c r="B298" s="72"/>
      <c r="C298" s="72"/>
      <c r="D298" s="72"/>
      <c r="E298" s="72"/>
      <c r="F298" s="72"/>
      <c r="G298" s="72"/>
      <c r="H298" s="72"/>
      <c r="I298" s="85"/>
      <c r="J298" s="85"/>
      <c r="K298" s="86">
        <v>2028</v>
      </c>
      <c r="L298" s="80" t="s">
        <v>212</v>
      </c>
      <c r="M298" s="84"/>
      <c r="N298" s="84"/>
      <c r="O298" s="84"/>
      <c r="P298" s="84"/>
      <c r="Q298" s="84"/>
      <c r="R298" s="84"/>
    </row>
    <row r="299" spans="1:52" s="9" customFormat="1" ht="21.75" customHeight="1">
      <c r="F299" s="34"/>
      <c r="H299" s="73"/>
      <c r="I299" s="73"/>
      <c r="J299" s="73"/>
      <c r="K299" s="15"/>
      <c r="L299" s="15"/>
    </row>
    <row r="300" spans="1:52" s="9" customFormat="1" ht="21.75" customHeight="1">
      <c r="F300" s="34"/>
      <c r="H300" s="73"/>
      <c r="I300" s="73"/>
      <c r="J300" s="73"/>
      <c r="K300" s="15"/>
      <c r="L300" s="15"/>
    </row>
    <row r="301" spans="1:52" s="9" customFormat="1" ht="21.75" customHeight="1">
      <c r="F301" s="34"/>
      <c r="H301" s="73"/>
      <c r="I301" s="73"/>
      <c r="J301" s="73"/>
      <c r="K301" s="15"/>
      <c r="L301" s="15"/>
    </row>
    <row r="302" spans="1:52" s="9" customFormat="1" ht="21.75" customHeight="1">
      <c r="F302" s="34"/>
      <c r="H302" s="73"/>
      <c r="I302" s="73"/>
      <c r="J302" s="73"/>
      <c r="K302" s="15"/>
      <c r="L302" s="15"/>
    </row>
    <row r="303" spans="1:52" s="9" customFormat="1" ht="21.75" customHeight="1">
      <c r="F303" s="34"/>
      <c r="H303" s="73"/>
      <c r="I303" s="73"/>
      <c r="J303" s="73"/>
      <c r="K303" s="15"/>
      <c r="L303" s="15"/>
    </row>
    <row r="304" spans="1:52" s="9" customFormat="1" ht="21.75" customHeight="1">
      <c r="F304" s="34"/>
      <c r="H304" s="73"/>
      <c r="I304" s="73"/>
      <c r="J304" s="73"/>
      <c r="K304" s="15"/>
      <c r="L304" s="15"/>
    </row>
    <row r="305" spans="1:52" s="9" customFormat="1" ht="21.75" customHeight="1">
      <c r="F305" s="34"/>
      <c r="H305" s="73"/>
      <c r="I305" s="73"/>
      <c r="J305" s="73"/>
      <c r="K305" s="15"/>
      <c r="L305" s="15"/>
    </row>
    <row r="306" spans="1:52" s="9" customFormat="1" ht="21.75" customHeight="1">
      <c r="F306" s="34"/>
      <c r="H306" s="73"/>
      <c r="I306" s="73"/>
      <c r="J306" s="73"/>
      <c r="K306" s="15"/>
      <c r="L306" s="15"/>
    </row>
    <row r="307" spans="1:52" s="9" customFormat="1" ht="21.75" customHeight="1">
      <c r="F307" s="34"/>
      <c r="H307" s="73"/>
      <c r="I307" s="73"/>
      <c r="J307" s="73"/>
      <c r="K307" s="15"/>
      <c r="L307" s="15"/>
    </row>
    <row r="308" spans="1:52" s="9" customFormat="1" ht="21.75" customHeight="1">
      <c r="F308" s="34"/>
      <c r="H308" s="73"/>
      <c r="I308" s="73"/>
      <c r="J308" s="73"/>
      <c r="K308" s="15"/>
      <c r="L308" s="15"/>
    </row>
    <row r="309" spans="1:52" s="9" customFormat="1" ht="21.75" customHeight="1">
      <c r="F309" s="34"/>
      <c r="H309" s="73"/>
      <c r="I309" s="73"/>
      <c r="J309" s="73"/>
      <c r="K309" s="15"/>
      <c r="L309" s="15"/>
    </row>
    <row r="310" spans="1:52" s="9" customFormat="1" ht="21.75" customHeight="1">
      <c r="F310" s="34"/>
      <c r="H310" s="73"/>
      <c r="I310" s="73"/>
      <c r="J310" s="73"/>
      <c r="K310" s="15"/>
      <c r="L310" s="15"/>
    </row>
    <row r="311" spans="1:52" s="9" customFormat="1" ht="21.75" customHeight="1">
      <c r="F311" s="34"/>
      <c r="H311" s="73"/>
      <c r="I311" s="73"/>
      <c r="J311" s="73"/>
      <c r="K311" s="15"/>
      <c r="L311" s="15"/>
    </row>
    <row r="312" spans="1:52" s="9" customFormat="1" ht="21.75" customHeight="1">
      <c r="F312" s="34"/>
      <c r="H312" s="73"/>
      <c r="I312" s="73"/>
      <c r="J312" s="73"/>
      <c r="K312" s="15"/>
      <c r="L312" s="15"/>
    </row>
    <row r="313" spans="1:52" s="9" customFormat="1" ht="21.75" customHeight="1">
      <c r="F313" s="34"/>
      <c r="H313" s="73"/>
      <c r="I313" s="73"/>
      <c r="J313" s="73"/>
      <c r="K313" s="15"/>
      <c r="L313" s="15"/>
    </row>
    <row r="314" spans="1:52" s="9" customFormat="1" ht="21.75" customHeight="1">
      <c r="F314" s="34"/>
      <c r="H314" s="73"/>
      <c r="I314" s="73"/>
      <c r="J314" s="73"/>
      <c r="K314" s="15"/>
      <c r="L314" s="15"/>
    </row>
    <row r="315" spans="1:52" s="10" customFormat="1" ht="21.75" customHeight="1">
      <c r="A315" s="74"/>
      <c r="F315" s="75"/>
      <c r="H315" s="73"/>
      <c r="I315" s="73"/>
      <c r="J315" s="73"/>
      <c r="K315" s="15"/>
      <c r="L315" s="15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</row>
    <row r="316" spans="1:52" s="10" customFormat="1" ht="21.75" customHeight="1">
      <c r="A316" s="74"/>
      <c r="F316" s="75"/>
      <c r="H316" s="73"/>
      <c r="I316" s="73"/>
      <c r="J316" s="73"/>
      <c r="K316" s="15"/>
      <c r="L316" s="15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</row>
    <row r="317" spans="1:52" s="10" customFormat="1" ht="21.75" customHeight="1">
      <c r="A317" s="74"/>
      <c r="F317" s="75"/>
      <c r="H317" s="73"/>
      <c r="I317" s="73"/>
      <c r="J317" s="73"/>
      <c r="K317" s="15"/>
      <c r="L317" s="15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s="10" customFormat="1" ht="21.75" customHeight="1">
      <c r="A318" s="74"/>
      <c r="F318" s="75"/>
      <c r="H318" s="73"/>
      <c r="I318" s="73"/>
      <c r="J318" s="73"/>
      <c r="K318" s="15"/>
      <c r="L318" s="15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s="10" customFormat="1" ht="21.75" customHeight="1">
      <c r="A319" s="74"/>
      <c r="F319" s="75"/>
      <c r="H319" s="73"/>
      <c r="I319" s="73"/>
      <c r="J319" s="73"/>
      <c r="K319" s="15"/>
      <c r="L319" s="15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s="10" customFormat="1" ht="21.75" customHeight="1">
      <c r="A320" s="74"/>
      <c r="F320" s="75"/>
      <c r="H320" s="73"/>
      <c r="I320" s="73"/>
      <c r="J320" s="73"/>
      <c r="K320" s="15"/>
      <c r="L320" s="15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1:52" s="10" customFormat="1" ht="21.75" customHeight="1">
      <c r="A321" s="74"/>
      <c r="F321" s="75"/>
      <c r="H321" s="73"/>
      <c r="I321" s="73"/>
      <c r="J321" s="73"/>
      <c r="K321" s="15"/>
      <c r="L321" s="15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</row>
  </sheetData>
  <autoFilter ref="A10:I293">
    <extLst/>
  </autoFilter>
  <mergeCells count="245">
    <mergeCell ref="M258:M259"/>
    <mergeCell ref="M272:M273"/>
    <mergeCell ref="M279:M280"/>
    <mergeCell ref="M286:M287"/>
    <mergeCell ref="G2:M3"/>
    <mergeCell ref="G8:M9"/>
    <mergeCell ref="A5:M7"/>
    <mergeCell ref="K258:K259"/>
    <mergeCell ref="K265:K266"/>
    <mergeCell ref="K272:K273"/>
    <mergeCell ref="K279:K280"/>
    <mergeCell ref="K286:K287"/>
    <mergeCell ref="L10:L11"/>
    <mergeCell ref="L258:L259"/>
    <mergeCell ref="L265:L266"/>
    <mergeCell ref="L272:L273"/>
    <mergeCell ref="L279:L280"/>
    <mergeCell ref="L286:L287"/>
    <mergeCell ref="I258:I259"/>
    <mergeCell ref="I265:I266"/>
    <mergeCell ref="I272:I273"/>
    <mergeCell ref="I279:I280"/>
    <mergeCell ref="I286:I287"/>
    <mergeCell ref="J10:J11"/>
    <mergeCell ref="J258:J259"/>
    <mergeCell ref="J265:J266"/>
    <mergeCell ref="J272:J273"/>
    <mergeCell ref="J279:J280"/>
    <mergeCell ref="J286:J287"/>
    <mergeCell ref="G258:G259"/>
    <mergeCell ref="G265:G266"/>
    <mergeCell ref="G272:G273"/>
    <mergeCell ref="G279:G280"/>
    <mergeCell ref="G286:G287"/>
    <mergeCell ref="H258:H259"/>
    <mergeCell ref="H265:H266"/>
    <mergeCell ref="H272:H273"/>
    <mergeCell ref="H279:H280"/>
    <mergeCell ref="H286:H287"/>
    <mergeCell ref="E258:E259"/>
    <mergeCell ref="E265:E266"/>
    <mergeCell ref="E272:E273"/>
    <mergeCell ref="E279:E280"/>
    <mergeCell ref="E286:E287"/>
    <mergeCell ref="F258:F259"/>
    <mergeCell ref="F265:F266"/>
    <mergeCell ref="F272:F273"/>
    <mergeCell ref="F279:F280"/>
    <mergeCell ref="F286:F287"/>
    <mergeCell ref="D235:D240"/>
    <mergeCell ref="D241:D246"/>
    <mergeCell ref="D247:D252"/>
    <mergeCell ref="D253:D259"/>
    <mergeCell ref="D260:D266"/>
    <mergeCell ref="D267:D273"/>
    <mergeCell ref="D274:D280"/>
    <mergeCell ref="D281:D287"/>
    <mergeCell ref="D288:D293"/>
    <mergeCell ref="D181:D186"/>
    <mergeCell ref="D187:D192"/>
    <mergeCell ref="D193:D198"/>
    <mergeCell ref="D199:D204"/>
    <mergeCell ref="D205:D210"/>
    <mergeCell ref="D211:D216"/>
    <mergeCell ref="D217:D222"/>
    <mergeCell ref="D223:D228"/>
    <mergeCell ref="D229:D234"/>
    <mergeCell ref="D127:D132"/>
    <mergeCell ref="D133:D138"/>
    <mergeCell ref="D139:D144"/>
    <mergeCell ref="D145:D150"/>
    <mergeCell ref="D151:D156"/>
    <mergeCell ref="D157:D162"/>
    <mergeCell ref="D163:D168"/>
    <mergeCell ref="D169:D174"/>
    <mergeCell ref="D175:D180"/>
    <mergeCell ref="C267:C273"/>
    <mergeCell ref="C274:C280"/>
    <mergeCell ref="C281:C287"/>
    <mergeCell ref="C288:C293"/>
    <mergeCell ref="D8:D11"/>
    <mergeCell ref="D13:D18"/>
    <mergeCell ref="D19:D24"/>
    <mergeCell ref="D25:D30"/>
    <mergeCell ref="D31:D36"/>
    <mergeCell ref="D37:D42"/>
    <mergeCell ref="D43:D48"/>
    <mergeCell ref="D49:D54"/>
    <mergeCell ref="D55:D60"/>
    <mergeCell ref="D61:D66"/>
    <mergeCell ref="D67:D72"/>
    <mergeCell ref="D73:D78"/>
    <mergeCell ref="D79:D84"/>
    <mergeCell ref="D85:D90"/>
    <mergeCell ref="D91:D96"/>
    <mergeCell ref="D97:D102"/>
    <mergeCell ref="D103:D108"/>
    <mergeCell ref="D109:D114"/>
    <mergeCell ref="D115:D120"/>
    <mergeCell ref="D121:D126"/>
    <mergeCell ref="C211:C216"/>
    <mergeCell ref="C217:C222"/>
    <mergeCell ref="C223:C228"/>
    <mergeCell ref="C229:C234"/>
    <mergeCell ref="C235:C240"/>
    <mergeCell ref="C241:C246"/>
    <mergeCell ref="C247:C252"/>
    <mergeCell ref="C253:C259"/>
    <mergeCell ref="C260:C266"/>
    <mergeCell ref="C157:C162"/>
    <mergeCell ref="C163:C168"/>
    <mergeCell ref="C169:C174"/>
    <mergeCell ref="C175:C180"/>
    <mergeCell ref="C181:C186"/>
    <mergeCell ref="C187:C192"/>
    <mergeCell ref="C193:C198"/>
    <mergeCell ref="C199:C204"/>
    <mergeCell ref="C205:C210"/>
    <mergeCell ref="C103:C108"/>
    <mergeCell ref="C109:C114"/>
    <mergeCell ref="C115:C120"/>
    <mergeCell ref="C121:C126"/>
    <mergeCell ref="C127:C132"/>
    <mergeCell ref="C133:C138"/>
    <mergeCell ref="C139:C144"/>
    <mergeCell ref="C145:C150"/>
    <mergeCell ref="C151:C156"/>
    <mergeCell ref="B241:B246"/>
    <mergeCell ref="B247:B252"/>
    <mergeCell ref="B253:B259"/>
    <mergeCell ref="B260:B266"/>
    <mergeCell ref="B267:B273"/>
    <mergeCell ref="B274:B280"/>
    <mergeCell ref="B281:B287"/>
    <mergeCell ref="B288:B293"/>
    <mergeCell ref="C8:C11"/>
    <mergeCell ref="C13:C18"/>
    <mergeCell ref="C19:C24"/>
    <mergeCell ref="C25:C30"/>
    <mergeCell ref="C31:C36"/>
    <mergeCell ref="C37:C42"/>
    <mergeCell ref="C43:C48"/>
    <mergeCell ref="C49:C54"/>
    <mergeCell ref="C55:C60"/>
    <mergeCell ref="C61:C66"/>
    <mergeCell ref="C67:C72"/>
    <mergeCell ref="C73:C78"/>
    <mergeCell ref="C79:C84"/>
    <mergeCell ref="C85:C90"/>
    <mergeCell ref="C91:C96"/>
    <mergeCell ref="C97:C102"/>
    <mergeCell ref="B187:B192"/>
    <mergeCell ref="B193:B198"/>
    <mergeCell ref="B199:B204"/>
    <mergeCell ref="B205:B210"/>
    <mergeCell ref="B211:B216"/>
    <mergeCell ref="B217:B222"/>
    <mergeCell ref="B223:B228"/>
    <mergeCell ref="B229:B234"/>
    <mergeCell ref="B235:B240"/>
    <mergeCell ref="B133:B138"/>
    <mergeCell ref="B139:B144"/>
    <mergeCell ref="B145:B150"/>
    <mergeCell ref="B151:B156"/>
    <mergeCell ref="B157:B162"/>
    <mergeCell ref="B163:B168"/>
    <mergeCell ref="B169:B174"/>
    <mergeCell ref="B175:B180"/>
    <mergeCell ref="B181:B186"/>
    <mergeCell ref="A274:A280"/>
    <mergeCell ref="A281:A287"/>
    <mergeCell ref="A288:A293"/>
    <mergeCell ref="B8:B11"/>
    <mergeCell ref="B13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B91:B96"/>
    <mergeCell ref="B97:B102"/>
    <mergeCell ref="B103:B108"/>
    <mergeCell ref="B109:B114"/>
    <mergeCell ref="B115:B120"/>
    <mergeCell ref="B121:B126"/>
    <mergeCell ref="B127:B132"/>
    <mergeCell ref="A217:A222"/>
    <mergeCell ref="A223:A228"/>
    <mergeCell ref="A229:A234"/>
    <mergeCell ref="A235:A240"/>
    <mergeCell ref="A241:A246"/>
    <mergeCell ref="A247:A252"/>
    <mergeCell ref="A253:A259"/>
    <mergeCell ref="A260:A266"/>
    <mergeCell ref="A267:A273"/>
    <mergeCell ref="A163:A168"/>
    <mergeCell ref="A169:A174"/>
    <mergeCell ref="A175:A180"/>
    <mergeCell ref="A181:A186"/>
    <mergeCell ref="A187:A192"/>
    <mergeCell ref="A193:A198"/>
    <mergeCell ref="A199:A204"/>
    <mergeCell ref="A205:A210"/>
    <mergeCell ref="A211:A216"/>
    <mergeCell ref="A109:A114"/>
    <mergeCell ref="A115:A120"/>
    <mergeCell ref="A121:A126"/>
    <mergeCell ref="A127:A132"/>
    <mergeCell ref="A133:A138"/>
    <mergeCell ref="A139:A144"/>
    <mergeCell ref="A145:A150"/>
    <mergeCell ref="A151:A156"/>
    <mergeCell ref="A157:A162"/>
    <mergeCell ref="A55:A60"/>
    <mergeCell ref="A61:A66"/>
    <mergeCell ref="A67:A72"/>
    <mergeCell ref="A73:A78"/>
    <mergeCell ref="A79:A84"/>
    <mergeCell ref="A85:A90"/>
    <mergeCell ref="A91:A96"/>
    <mergeCell ref="A97:A102"/>
    <mergeCell ref="A103:A108"/>
    <mergeCell ref="L1:M1"/>
    <mergeCell ref="A8:A11"/>
    <mergeCell ref="A13:A18"/>
    <mergeCell ref="A19:A24"/>
    <mergeCell ref="A25:A30"/>
    <mergeCell ref="A31:A36"/>
    <mergeCell ref="A37:A42"/>
    <mergeCell ref="A43:A48"/>
    <mergeCell ref="A49:A54"/>
    <mergeCell ref="E8:E11"/>
    <mergeCell ref="G10:G11"/>
    <mergeCell ref="I10:I11"/>
    <mergeCell ref="K10:K11"/>
    <mergeCell ref="M10:M11"/>
    <mergeCell ref="H10:H11"/>
    <mergeCell ref="F8:F11"/>
  </mergeCells>
  <pageMargins left="0.25" right="0.25" top="0.75" bottom="0.75" header="0.3" footer="0.3"/>
  <pageSetup paperSize="9" scale="66" fitToHeight="0" orientation="landscape" r:id="rId1"/>
  <rowBreaks count="9" manualBreakCount="9">
    <brk id="30" max="12" man="1"/>
    <brk id="60" max="12" man="1"/>
    <brk id="90" max="12" man="1"/>
    <brk id="120" max="12" man="1"/>
    <brk id="144" max="12" man="1"/>
    <brk id="180" max="12" man="1"/>
    <brk id="204" max="12" man="1"/>
    <brk id="228" max="12" man="1"/>
    <brk id="25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2026-01-19T07:16:53Z</cp:lastPrinted>
  <dcterms:created xsi:type="dcterms:W3CDTF">2006-09-16T00:00:00Z</dcterms:created>
  <dcterms:modified xsi:type="dcterms:W3CDTF">2026-02-24T11:44:02Z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0C00B7EC72FE492E952D20045DAE55AC_12</vt:lpwstr>
  </property>
  <property fmtid="{D5CDD505-2E9C-101B-9397-08002B2CF9AE}" pid="3" name="KSOProductBuildVer">
    <vt:lpwstr>1049-12.2.0.22549</vt:lpwstr>
  </property>
</Properties>
</file>